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MAS ALDAMA CONTABILIDAD\2022\CUENTA PUBLICA 2021\"/>
    </mc:Choice>
  </mc:AlternateContent>
  <xr:revisionPtr revIDLastSave="0" documentId="13_ncr:1_{A62BC3DF-56AD-484B-999B-896CF01F51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IGOO" sheetId="2" r:id="rId1"/>
  </sheets>
  <externalReferences>
    <externalReference r:id="rId2"/>
  </externalReferences>
  <definedNames>
    <definedName name="Admin.">'[1]Gastos de Admin.'!$H$234</definedName>
    <definedName name="_xlnm.Extract">#REF!</definedName>
    <definedName name="_xlnm.Print_Area" localSheetId="0">PIGOO!$A$1:$R$209</definedName>
    <definedName name="Comerc.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_xlnm.Print_Titles" localSheetId="0">PIGOO!$9:$10</definedName>
    <definedName name="Tot.Gastos">#REF!</definedName>
    <definedName name="xxx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1" i="2" l="1"/>
  <c r="M105" i="2"/>
  <c r="M109" i="2"/>
  <c r="M107" i="2"/>
  <c r="M106" i="2"/>
  <c r="M57" i="2"/>
  <c r="L31" i="2" l="1"/>
  <c r="M34" i="2"/>
  <c r="M31" i="2"/>
  <c r="L131" i="2"/>
  <c r="L109" i="2"/>
  <c r="L107" i="2"/>
  <c r="L106" i="2"/>
  <c r="L57" i="2"/>
  <c r="L34" i="2"/>
  <c r="K131" i="2"/>
  <c r="K71" i="2"/>
  <c r="J57" i="2"/>
  <c r="K57" i="2"/>
  <c r="K34" i="2"/>
  <c r="K31" i="2"/>
  <c r="J131" i="2"/>
  <c r="J34" i="2"/>
  <c r="J31" i="2"/>
  <c r="I131" i="2"/>
  <c r="I109" i="2"/>
  <c r="I107" i="2"/>
  <c r="I106" i="2"/>
  <c r="I57" i="2"/>
  <c r="I34" i="2"/>
  <c r="I31" i="2"/>
  <c r="H131" i="2"/>
  <c r="H109" i="2"/>
  <c r="H107" i="2"/>
  <c r="H106" i="2"/>
  <c r="H57" i="2"/>
  <c r="H34" i="2" l="1"/>
  <c r="H31" i="2"/>
  <c r="G131" i="2"/>
  <c r="G109" i="2"/>
  <c r="G107" i="2"/>
  <c r="G106" i="2"/>
  <c r="G57" i="2"/>
  <c r="G34" i="2"/>
  <c r="G31" i="2"/>
  <c r="F109" i="2"/>
  <c r="F107" i="2"/>
  <c r="F106" i="2"/>
  <c r="F131" i="2"/>
  <c r="F57" i="2"/>
  <c r="F31" i="2"/>
  <c r="F34" i="2"/>
  <c r="D57" i="2"/>
  <c r="E57" i="2"/>
  <c r="M178" i="2"/>
  <c r="L178" i="2"/>
  <c r="K178" i="2"/>
  <c r="J178" i="2"/>
  <c r="I178" i="2"/>
  <c r="H178" i="2"/>
  <c r="G178" i="2"/>
  <c r="F178" i="2"/>
  <c r="E178" i="2"/>
  <c r="D178" i="2"/>
  <c r="E131" i="2"/>
  <c r="E109" i="2"/>
  <c r="E107" i="2"/>
  <c r="E106" i="2"/>
  <c r="E31" i="2"/>
  <c r="E34" i="2"/>
  <c r="D109" i="2" l="1"/>
  <c r="D107" i="2"/>
  <c r="D106" i="2"/>
  <c r="D34" i="2"/>
  <c r="D31" i="2"/>
  <c r="C109" i="2"/>
  <c r="C107" i="2"/>
  <c r="C106" i="2"/>
  <c r="C57" i="2"/>
  <c r="C39" i="2"/>
  <c r="C13" i="2"/>
  <c r="C12" i="2" s="1"/>
  <c r="C31" i="2"/>
  <c r="C34" i="2"/>
  <c r="C32" i="2" s="1"/>
  <c r="B105" i="2" l="1"/>
  <c r="B109" i="2"/>
  <c r="B107" i="2"/>
  <c r="B106" i="2"/>
  <c r="B57" i="2"/>
  <c r="O32" i="2"/>
  <c r="N35" i="2"/>
  <c r="M32" i="2"/>
  <c r="L32" i="2"/>
  <c r="K32" i="2"/>
  <c r="J32" i="2"/>
  <c r="I32" i="2"/>
  <c r="H32" i="2"/>
  <c r="G32" i="2"/>
  <c r="F32" i="2"/>
  <c r="E32" i="2"/>
  <c r="D32" i="2"/>
  <c r="M28" i="2"/>
  <c r="L28" i="2"/>
  <c r="K28" i="2"/>
  <c r="J28" i="2"/>
  <c r="I28" i="2"/>
  <c r="H28" i="2"/>
  <c r="G28" i="2"/>
  <c r="F28" i="2"/>
  <c r="E28" i="2"/>
  <c r="D28" i="2"/>
  <c r="B34" i="2"/>
  <c r="B32" i="2" s="1"/>
  <c r="C28" i="2"/>
  <c r="C25" i="2" s="1"/>
  <c r="B31" i="2"/>
  <c r="B28" i="2" s="1"/>
  <c r="O31" i="2"/>
  <c r="O28" i="2" s="1"/>
  <c r="O13" i="2"/>
  <c r="O12" i="2" s="1"/>
  <c r="O11" i="2" s="1"/>
  <c r="N17" i="2"/>
  <c r="N16" i="2"/>
  <c r="N21" i="2"/>
  <c r="M13" i="2"/>
  <c r="M12" i="2" s="1"/>
  <c r="L13" i="2"/>
  <c r="L12" i="2" s="1"/>
  <c r="K13" i="2"/>
  <c r="K12" i="2" s="1"/>
  <c r="J13" i="2"/>
  <c r="J12" i="2" s="1"/>
  <c r="I13" i="2"/>
  <c r="I12" i="2" s="1"/>
  <c r="H13" i="2"/>
  <c r="H12" i="2" s="1"/>
  <c r="G13" i="2"/>
  <c r="G12" i="2" s="1"/>
  <c r="F13" i="2"/>
  <c r="F12" i="2" s="1"/>
  <c r="E13" i="2"/>
  <c r="E12" i="2" s="1"/>
  <c r="D13" i="2"/>
  <c r="D12" i="2" s="1"/>
  <c r="L25" i="2" l="1"/>
  <c r="I25" i="2"/>
  <c r="M25" i="2"/>
  <c r="J25" i="2"/>
  <c r="H25" i="2"/>
  <c r="G25" i="2"/>
  <c r="F25" i="2"/>
  <c r="E25" i="2"/>
  <c r="D25" i="2"/>
  <c r="N34" i="2"/>
  <c r="O25" i="2"/>
  <c r="K25" i="2"/>
  <c r="N33" i="2" l="1"/>
  <c r="N32" i="2" s="1"/>
  <c r="B25" i="2"/>
  <c r="M123" i="2"/>
  <c r="L123" i="2"/>
  <c r="K123" i="2"/>
  <c r="J123" i="2"/>
  <c r="I123" i="2"/>
  <c r="H123" i="2"/>
  <c r="G123" i="2"/>
  <c r="F123" i="2"/>
  <c r="E123" i="2"/>
  <c r="D123" i="2"/>
  <c r="C123" i="2"/>
  <c r="M117" i="2"/>
  <c r="L117" i="2"/>
  <c r="K117" i="2"/>
  <c r="J117" i="2"/>
  <c r="I117" i="2"/>
  <c r="H117" i="2"/>
  <c r="G117" i="2"/>
  <c r="F117" i="2"/>
  <c r="E117" i="2"/>
  <c r="D117" i="2"/>
  <c r="C117" i="2"/>
  <c r="M62" i="2"/>
  <c r="L62" i="2"/>
  <c r="K62" i="2"/>
  <c r="J62" i="2"/>
  <c r="I62" i="2"/>
  <c r="H62" i="2"/>
  <c r="G62" i="2"/>
  <c r="F62" i="2"/>
  <c r="D62" i="2"/>
  <c r="C62" i="2"/>
  <c r="B62" i="2"/>
  <c r="M46" i="2"/>
  <c r="L46" i="2"/>
  <c r="K46" i="2"/>
  <c r="J46" i="2"/>
  <c r="I46" i="2"/>
  <c r="H46" i="2"/>
  <c r="G46" i="2"/>
  <c r="F46" i="2"/>
  <c r="E46" i="2"/>
  <c r="D46" i="2"/>
  <c r="C46" i="2"/>
  <c r="N57" i="2"/>
  <c r="N56" i="2" s="1"/>
  <c r="N109" i="2"/>
  <c r="N108" i="2"/>
  <c r="N107" i="2"/>
  <c r="N106" i="2"/>
  <c r="N105" i="2"/>
  <c r="M90" i="2" l="1"/>
  <c r="L90" i="2"/>
  <c r="M191" i="2" l="1"/>
  <c r="K90" i="2"/>
  <c r="J90" i="2" l="1"/>
  <c r="I90" i="2" l="1"/>
  <c r="H39" i="2" l="1"/>
  <c r="H24" i="2" s="1"/>
  <c r="H90" i="2"/>
  <c r="G191" i="2" l="1"/>
  <c r="G190" i="2" s="1"/>
  <c r="G90" i="2"/>
  <c r="N27" i="2" l="1"/>
  <c r="N26" i="2"/>
  <c r="N29" i="2"/>
  <c r="N30" i="2"/>
  <c r="N22" i="2"/>
  <c r="N20" i="2"/>
  <c r="N19" i="2"/>
  <c r="N18" i="2"/>
  <c r="N15" i="2"/>
  <c r="N14" i="2"/>
  <c r="O39" i="2"/>
  <c r="O24" i="2" s="1"/>
  <c r="N13" i="2" l="1"/>
  <c r="N12" i="2" s="1"/>
  <c r="N11" i="2" s="1"/>
  <c r="F90" i="2"/>
  <c r="E90" i="2" l="1"/>
  <c r="E62" i="2"/>
  <c r="E61" i="2" s="1"/>
  <c r="E116" i="2"/>
  <c r="E208" i="2" s="1"/>
  <c r="D90" i="2"/>
  <c r="E11" i="2"/>
  <c r="E159" i="2"/>
  <c r="M159" i="2"/>
  <c r="L159" i="2"/>
  <c r="K159" i="2"/>
  <c r="J159" i="2"/>
  <c r="I159" i="2"/>
  <c r="H159" i="2"/>
  <c r="G159" i="2"/>
  <c r="F159" i="2"/>
  <c r="D159" i="2"/>
  <c r="C159" i="2"/>
  <c r="C90" i="2"/>
  <c r="B159" i="2"/>
  <c r="B90" i="2"/>
  <c r="M70" i="2"/>
  <c r="M91" i="2" s="1"/>
  <c r="M94" i="2" s="1"/>
  <c r="L70" i="2"/>
  <c r="L91" i="2" s="1"/>
  <c r="K70" i="2"/>
  <c r="K91" i="2" s="1"/>
  <c r="K94" i="2" s="1"/>
  <c r="J70" i="2"/>
  <c r="I70" i="2"/>
  <c r="I91" i="2" s="1"/>
  <c r="H70" i="2"/>
  <c r="H91" i="2" s="1"/>
  <c r="G70" i="2"/>
  <c r="G91" i="2" s="1"/>
  <c r="G94" i="2" s="1"/>
  <c r="M39" i="2"/>
  <c r="M24" i="2" s="1"/>
  <c r="L39" i="2"/>
  <c r="L24" i="2" s="1"/>
  <c r="K39" i="2"/>
  <c r="K24" i="2" s="1"/>
  <c r="J39" i="2"/>
  <c r="J24" i="2" s="1"/>
  <c r="I39" i="2"/>
  <c r="I24" i="2" s="1"/>
  <c r="G39" i="2"/>
  <c r="G24" i="2" s="1"/>
  <c r="F39" i="2"/>
  <c r="F24" i="2" s="1"/>
  <c r="E39" i="2"/>
  <c r="E24" i="2" s="1"/>
  <c r="M11" i="2"/>
  <c r="J11" i="2"/>
  <c r="I11" i="2"/>
  <c r="H11" i="2"/>
  <c r="G11" i="2"/>
  <c r="F11" i="2"/>
  <c r="M143" i="2"/>
  <c r="J143" i="2"/>
  <c r="M136" i="2"/>
  <c r="M135" i="2" s="1"/>
  <c r="L136" i="2"/>
  <c r="L135" i="2" s="1"/>
  <c r="J136" i="2"/>
  <c r="J135" i="2" s="1"/>
  <c r="B104" i="2"/>
  <c r="M104" i="2"/>
  <c r="M97" i="2"/>
  <c r="G97" i="2"/>
  <c r="F97" i="2"/>
  <c r="E97" i="2"/>
  <c r="B97" i="2"/>
  <c r="M84" i="2"/>
  <c r="L84" i="2"/>
  <c r="K84" i="2"/>
  <c r="J84" i="2"/>
  <c r="I84" i="2"/>
  <c r="H84" i="2"/>
  <c r="G84" i="2"/>
  <c r="F84" i="2"/>
  <c r="E84" i="2"/>
  <c r="M76" i="2"/>
  <c r="L76" i="2"/>
  <c r="K76" i="2"/>
  <c r="J76" i="2"/>
  <c r="I76" i="2"/>
  <c r="H76" i="2"/>
  <c r="G76" i="2"/>
  <c r="F76" i="2"/>
  <c r="E76" i="2"/>
  <c r="M56" i="2"/>
  <c r="L56" i="2"/>
  <c r="K56" i="2"/>
  <c r="J56" i="2"/>
  <c r="I56" i="2"/>
  <c r="H56" i="2"/>
  <c r="G56" i="2"/>
  <c r="F61" i="2"/>
  <c r="G61" i="2"/>
  <c r="H61" i="2"/>
  <c r="I61" i="2"/>
  <c r="J61" i="2"/>
  <c r="K61" i="2"/>
  <c r="L61" i="2"/>
  <c r="M61" i="2"/>
  <c r="E56" i="2"/>
  <c r="L191" i="2"/>
  <c r="L190" i="2" s="1"/>
  <c r="J191" i="2"/>
  <c r="J190" i="2" s="1"/>
  <c r="H191" i="2"/>
  <c r="H190" i="2" s="1"/>
  <c r="F191" i="2"/>
  <c r="F190" i="2" s="1"/>
  <c r="E191" i="2"/>
  <c r="E190" i="2" s="1"/>
  <c r="D191" i="2"/>
  <c r="D190" i="2" s="1"/>
  <c r="C191" i="2"/>
  <c r="C190" i="2" s="1"/>
  <c r="B191" i="2"/>
  <c r="B190" i="2" s="1"/>
  <c r="M190" i="2"/>
  <c r="C178" i="2"/>
  <c r="B178" i="2"/>
  <c r="L143" i="2"/>
  <c r="K143" i="2"/>
  <c r="I143" i="2"/>
  <c r="H143" i="2"/>
  <c r="G143" i="2"/>
  <c r="F143" i="2"/>
  <c r="E143" i="2"/>
  <c r="D143" i="2"/>
  <c r="C143" i="2"/>
  <c r="B143" i="2"/>
  <c r="R137" i="2"/>
  <c r="R136" i="2" s="1"/>
  <c r="Q137" i="2"/>
  <c r="Q136" i="2" s="1"/>
  <c r="P137" i="2"/>
  <c r="P136" i="2" s="1"/>
  <c r="O137" i="2"/>
  <c r="O136" i="2" s="1"/>
  <c r="N137" i="2"/>
  <c r="N136" i="2" s="1"/>
  <c r="K136" i="2"/>
  <c r="K135" i="2" s="1"/>
  <c r="I136" i="2"/>
  <c r="I135" i="2" s="1"/>
  <c r="H136" i="2"/>
  <c r="H135" i="2" s="1"/>
  <c r="G136" i="2"/>
  <c r="G135" i="2" s="1"/>
  <c r="F136" i="2"/>
  <c r="F135" i="2" s="1"/>
  <c r="E136" i="2"/>
  <c r="E135" i="2" s="1"/>
  <c r="D136" i="2"/>
  <c r="D135" i="2" s="1"/>
  <c r="C136" i="2"/>
  <c r="C135" i="2" s="1"/>
  <c r="B136" i="2"/>
  <c r="B135" i="2" s="1"/>
  <c r="G116" i="2"/>
  <c r="D116" i="2"/>
  <c r="D208" i="2" s="1"/>
  <c r="B123" i="2"/>
  <c r="B117" i="2"/>
  <c r="L104" i="2"/>
  <c r="K104" i="2"/>
  <c r="J104" i="2"/>
  <c r="I104" i="2"/>
  <c r="H104" i="2"/>
  <c r="G104" i="2"/>
  <c r="F104" i="2"/>
  <c r="E104" i="2"/>
  <c r="D104" i="2"/>
  <c r="C104" i="2"/>
  <c r="L97" i="2"/>
  <c r="K97" i="2"/>
  <c r="J97" i="2"/>
  <c r="I97" i="2"/>
  <c r="H97" i="2"/>
  <c r="D97" i="2"/>
  <c r="C97" i="2"/>
  <c r="N86" i="2"/>
  <c r="N85" i="2"/>
  <c r="D84" i="2"/>
  <c r="C84" i="2"/>
  <c r="B84" i="2"/>
  <c r="N81" i="2"/>
  <c r="N80" i="2"/>
  <c r="N79" i="2"/>
  <c r="N78" i="2"/>
  <c r="N77" i="2"/>
  <c r="D76" i="2"/>
  <c r="C76" i="2"/>
  <c r="F70" i="2"/>
  <c r="E70" i="2"/>
  <c r="E91" i="2" s="1"/>
  <c r="D70" i="2"/>
  <c r="D91" i="2" s="1"/>
  <c r="C70" i="2"/>
  <c r="C91" i="2" s="1"/>
  <c r="B70" i="2"/>
  <c r="D61" i="2"/>
  <c r="C61" i="2"/>
  <c r="B61" i="2"/>
  <c r="F56" i="2"/>
  <c r="D56" i="2"/>
  <c r="C56" i="2"/>
  <c r="B56" i="2"/>
  <c r="B46" i="2"/>
  <c r="N44" i="2"/>
  <c r="P44" i="2" s="1"/>
  <c r="Q44" i="2" s="1"/>
  <c r="N42" i="2"/>
  <c r="N41" i="2"/>
  <c r="N40" i="2"/>
  <c r="D39" i="2"/>
  <c r="D24" i="2" s="1"/>
  <c r="B39" i="2"/>
  <c r="B24" i="2" s="1"/>
  <c r="N38" i="2"/>
  <c r="R23" i="2"/>
  <c r="L11" i="2"/>
  <c r="K11" i="2"/>
  <c r="C11" i="2"/>
  <c r="C37" i="2" s="1"/>
  <c r="B13" i="2"/>
  <c r="B12" i="2" s="1"/>
  <c r="C116" i="2"/>
  <c r="C208" i="2" s="1"/>
  <c r="K191" i="2"/>
  <c r="K190" i="2" s="1"/>
  <c r="I191" i="2"/>
  <c r="I190" i="2" s="1"/>
  <c r="B76" i="2"/>
  <c r="I94" i="2" l="1"/>
  <c r="P34" i="2"/>
  <c r="Q34" i="2" s="1"/>
  <c r="R34" i="2" s="1"/>
  <c r="P35" i="2"/>
  <c r="C24" i="2"/>
  <c r="P33" i="2"/>
  <c r="P30" i="2"/>
  <c r="Q30" i="2" s="1"/>
  <c r="R30" i="2" s="1"/>
  <c r="L94" i="2"/>
  <c r="P38" i="2"/>
  <c r="Q38" i="2" s="1"/>
  <c r="P16" i="2"/>
  <c r="Q16" i="2" s="1"/>
  <c r="R16" i="2" s="1"/>
  <c r="P14" i="2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R17" i="2" s="1"/>
  <c r="B11" i="2"/>
  <c r="D11" i="2"/>
  <c r="D37" i="2" s="1"/>
  <c r="D43" i="2" s="1"/>
  <c r="C43" i="2"/>
  <c r="O37" i="2"/>
  <c r="G208" i="2"/>
  <c r="B116" i="2"/>
  <c r="N104" i="2"/>
  <c r="N97" i="2"/>
  <c r="N90" i="2"/>
  <c r="J37" i="2"/>
  <c r="J43" i="2" s="1"/>
  <c r="C132" i="2"/>
  <c r="C160" i="2" s="1"/>
  <c r="C94" i="2"/>
  <c r="D132" i="2"/>
  <c r="D160" i="2" s="1"/>
  <c r="D94" i="2"/>
  <c r="E94" i="2"/>
  <c r="E37" i="2"/>
  <c r="E43" i="2" s="1"/>
  <c r="E132" i="2"/>
  <c r="E160" i="2" s="1"/>
  <c r="B91" i="2"/>
  <c r="F91" i="2"/>
  <c r="F116" i="2"/>
  <c r="J91" i="2"/>
  <c r="K37" i="2"/>
  <c r="K43" i="2" s="1"/>
  <c r="M116" i="2"/>
  <c r="K116" i="2"/>
  <c r="I116" i="2"/>
  <c r="L116" i="2"/>
  <c r="L208" i="2" s="1"/>
  <c r="L37" i="2"/>
  <c r="L43" i="2" s="1"/>
  <c r="M37" i="2"/>
  <c r="M43" i="2" s="1"/>
  <c r="N31" i="2"/>
  <c r="J116" i="2"/>
  <c r="N70" i="2"/>
  <c r="I37" i="2"/>
  <c r="I43" i="2" s="1"/>
  <c r="H94" i="2"/>
  <c r="H116" i="2"/>
  <c r="H208" i="2" s="1"/>
  <c r="G132" i="2"/>
  <c r="G160" i="2" s="1"/>
  <c r="N84" i="2"/>
  <c r="N39" i="2"/>
  <c r="N76" i="2"/>
  <c r="F37" i="2"/>
  <c r="F43" i="2" s="1"/>
  <c r="P31" i="2"/>
  <c r="P26" i="2"/>
  <c r="P27" i="2"/>
  <c r="Q27" i="2" s="1"/>
  <c r="R27" i="2" s="1"/>
  <c r="P15" i="2"/>
  <c r="P29" i="2"/>
  <c r="P39" i="2"/>
  <c r="P32" i="2" l="1"/>
  <c r="Q32" i="2" s="1"/>
  <c r="R32" i="2" s="1"/>
  <c r="B37" i="2"/>
  <c r="B43" i="2" s="1"/>
  <c r="Q31" i="2"/>
  <c r="R31" i="2" s="1"/>
  <c r="Q33" i="2"/>
  <c r="R33" i="2" s="1"/>
  <c r="P28" i="2"/>
  <c r="N28" i="2"/>
  <c r="N25" i="2" s="1"/>
  <c r="N37" i="2" s="1"/>
  <c r="Q15" i="2"/>
  <c r="R15" i="2" s="1"/>
  <c r="P13" i="2"/>
  <c r="P12" i="2" s="1"/>
  <c r="P11" i="2" s="1"/>
  <c r="Q11" i="2" s="1"/>
  <c r="F132" i="2"/>
  <c r="F160" i="2" s="1"/>
  <c r="M208" i="2"/>
  <c r="F208" i="2"/>
  <c r="J208" i="2"/>
  <c r="I132" i="2"/>
  <c r="I160" i="2" s="1"/>
  <c r="I208" i="2"/>
  <c r="K208" i="2"/>
  <c r="B208" i="2"/>
  <c r="B132" i="2"/>
  <c r="B160" i="2" s="1"/>
  <c r="N91" i="2"/>
  <c r="B94" i="2"/>
  <c r="K132" i="2"/>
  <c r="K160" i="2" s="1"/>
  <c r="M132" i="2"/>
  <c r="M160" i="2" s="1"/>
  <c r="F94" i="2"/>
  <c r="J94" i="2"/>
  <c r="G37" i="2"/>
  <c r="G43" i="2" s="1"/>
  <c r="L132" i="2"/>
  <c r="L160" i="2" s="1"/>
  <c r="Q39" i="2"/>
  <c r="R39" i="2" s="1"/>
  <c r="J132" i="2"/>
  <c r="J160" i="2" s="1"/>
  <c r="H37" i="2"/>
  <c r="H43" i="2" s="1"/>
  <c r="H132" i="2"/>
  <c r="H160" i="2" s="1"/>
  <c r="Q29" i="2"/>
  <c r="R29" i="2" s="1"/>
  <c r="Q26" i="2"/>
  <c r="Q14" i="2"/>
  <c r="R14" i="2" s="1"/>
  <c r="Q28" i="2" l="1"/>
  <c r="R28" i="2" s="1"/>
  <c r="P25" i="2"/>
  <c r="R26" i="2"/>
  <c r="Q13" i="2"/>
  <c r="R13" i="2" s="1"/>
  <c r="N43" i="2" l="1"/>
  <c r="N24" i="2"/>
  <c r="P24" i="2"/>
  <c r="Q25" i="2"/>
  <c r="R25" i="2" s="1"/>
  <c r="Q12" i="2"/>
  <c r="R12" i="2" s="1"/>
  <c r="Q24" i="2" l="1"/>
  <c r="R24" i="2" s="1"/>
  <c r="P37" i="2"/>
  <c r="R11" i="2"/>
  <c r="P43" i="2" l="1"/>
  <c r="Q43" i="2" s="1"/>
  <c r="Q37" i="2"/>
  <c r="R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MANUELVAL</author>
    <author>Manuel Vega Navarrate</author>
    <author>Autor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EXTRAER INFORMACION DE ESTADOS FINANCIEROS Y BALANZA … </t>
        </r>
        <r>
          <rPr>
            <b/>
            <sz val="9"/>
            <color indexed="81"/>
            <rFont val="Tahoma"/>
            <family val="2"/>
          </rPr>
          <t>EN CASO DE CONSIDERAR LAS BONIFICACIONES Y DESCUENTOS COMO GASTO FAVOR DE CLASIFICARLOS DES PUES DE INGRESOS COMO EL FORMATO Y QUITARLO A LOS GASTOS. DEBERÁ CHECAR CON SU ESTADO DE RESULTADOS</t>
        </r>
      </text>
    </comment>
    <comment ref="A3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ESTA PAGANDO CREDITOS CONTRACTUALES</t>
        </r>
      </text>
    </comment>
    <comment ref="A3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INVERSIONES REALIZADAS CON RECURSOS PROPIOS DENTRO DEL MES
</t>
        </r>
      </text>
    </comment>
    <comment ref="A4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BALANCE GENERAL O ESTADO DE SITUACIÓN FINANCIERA
</t>
        </r>
      </text>
    </comment>
    <comment ref="A5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ENERGIA ELECTRICA CFE</t>
        </r>
      </text>
    </comment>
    <comment ref="I56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J5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K56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L56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A6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ENERGÍA ELÉCTRICA CFE</t>
        </r>
      </text>
    </comment>
    <comment ref="A6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
</t>
        </r>
      </text>
    </comment>
    <comment ref="A6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</t>
        </r>
      </text>
    </comment>
    <comment ref="A7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MEDICION DE LAS FUENTES POR TIPO
</t>
        </r>
      </text>
    </comment>
    <comment ref="A7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RESUMEN OPERATIVO POR TIPO DE USUARIO
</t>
        </r>
      </text>
    </comment>
    <comment ref="A8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LECTRURA CEL O COMERCIAL</t>
        </r>
      </text>
    </comment>
    <comment ref="A89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LECTURA DE  MEDICIÓN EN LA PLANTA TRATADORA O ESTIMADO.</t>
        </r>
      </text>
    </comment>
    <comment ref="A9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 PARA LO FACTURADO Y COBRADO EN $</t>
        </r>
      </text>
    </comment>
    <comment ref="A111" authorId="0" shapeId="0" xr:uid="{00000000-0006-0000-0000-000012000000}">
      <text>
        <r>
          <rPr>
            <sz val="9"/>
            <color indexed="81"/>
            <rFont val="Tahoma"/>
            <family val="2"/>
          </rPr>
          <t>MANUELVAL:SOLO AQUELLOS QUE EFECTIVAMENTE SE REALIZARON YA QUE AL ACUDIR AL CORTE EL USUARIO EN ALGUNOS CASOS REALIZA EL PAGO INMEDIATO.</t>
        </r>
      </text>
    </comment>
    <comment ref="A1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TAMBIEN LAS EFECTIVAMENTE RERALIZADAS EN LAS BITACORAS O CONTROLES.</t>
        </r>
      </text>
    </comment>
    <comment ref="A1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CONTABILIZADO POR ESTE CONCEPTO
</t>
        </r>
      </text>
    </comment>
    <comment ref="A11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SISTEMA LECTURA CEL O COMERCIAL, SEPARAR TOMAS ACTIVAS DE LAS NO ACTIVAS O CONGELADAS COMO LO MUESTRA EL CUADRO</t>
        </r>
      </text>
    </comment>
    <comment ref="A13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comercial. </t>
        </r>
        <r>
          <rPr>
            <b/>
            <sz val="9"/>
            <color indexed="81"/>
            <rFont val="Tahoma"/>
            <family val="2"/>
          </rPr>
          <t>SE TOMA EL REZAGO SIN RECARGOS</t>
        </r>
      </text>
    </comment>
    <comment ref="A14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</t>
        </r>
      </text>
    </comment>
    <comment ref="A14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TOMAR DEL PADRON POR RANGOS DE CONSUMO LA TARIFA EN LA QUE HUBO MAS USUARIOS EN EL MES</t>
        </r>
      </text>
    </comment>
    <comment ref="A158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TENER EL DATO DE </t>
        </r>
        <r>
          <rPr>
            <b/>
            <sz val="9"/>
            <color indexed="81"/>
            <rFont val="Tahoma"/>
            <family val="2"/>
          </rPr>
          <t>CONAPO</t>
        </r>
        <r>
          <rPr>
            <sz val="9"/>
            <color indexed="81"/>
            <rFont val="Tahoma"/>
            <family val="2"/>
          </rPr>
          <t xml:space="preserve"> SE INCLUYE.</t>
        </r>
      </text>
    </comment>
    <comment ref="A15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60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61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COMUNIDADES, COMITES QUE EL ORGANISMO ATIENDE ADEMAS DE LO CORRESPONDIENTE A SUS CINCURSCRIPCIÓN</t>
        </r>
      </text>
    </comment>
    <comment ref="A16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DATO DE COUNIDADES ATENDIDAS ESTIMAR EL NUMERO DE USUARIOS SEGÚN EL PADRON DE CADA UNA</t>
        </r>
      </text>
    </comment>
    <comment ref="A16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4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5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6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7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8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9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70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LA LONGITUD REHABILITADA EN EL MES EN KM</t>
        </r>
      </text>
    </comment>
    <comment ref="A171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REHABILITAR O REPARAR MICROMEDIDORES</t>
        </r>
      </text>
    </comment>
    <comment ref="A17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LOS MICROMEDIDORES NUEVOS INSTALADOS POR SUSTITUCIÓN, A SOLICITUD DEL USUARIO , NUEVOS CONTRATOS, ETC.</t>
        </r>
      </text>
    </comment>
    <comment ref="A17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 LOS QUE EFECTIVAMENTE SE LES TOMA LECTURA, NO INCLUYE LOS ESTIMADOS, PROMEDIADOS, DESTRUIDOS, SIN FUNCIONAR, ETC.  </t>
        </r>
        <r>
          <rPr>
            <b/>
            <sz val="9"/>
            <color indexed="81"/>
            <rFont val="Tahoma"/>
            <family val="2"/>
          </rPr>
          <t>SOLO FUNCIONANDO</t>
        </r>
      </text>
    </comment>
    <comment ref="A175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MACROMEDIDORES INSTALADOS EN EL MES</t>
        </r>
      </text>
    </comment>
    <comment ref="A176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QUE SI FUNCIONEN Y ARROJEN LECTURAS CORRECTAMENTE. SEGÚN BITACORAS</t>
        </r>
      </text>
    </comment>
    <comment ref="A178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INVENTARIO DE FUENTES ACTIVAS Y EN DESUSO, TANQUES DE ALMACENAMIENTO O PILAS Y CAPACIDAD DE ALMACENAMIENTO. </t>
        </r>
      </text>
    </comment>
    <comment ref="A191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TODO EL PERSONAL SEA POR SUELDOS Y SALARIOS, HONORARIOS O ASIMILADOS. SEPARAR DE ACUERDO AL CUADRO</t>
        </r>
      </text>
    </comment>
    <comment ref="A20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MANUELVAL:
</t>
        </r>
        <r>
          <rPr>
            <sz val="9"/>
            <color indexed="81"/>
            <rFont val="Tahoma"/>
            <family val="2"/>
          </rPr>
          <t>QUE SE INVOLUCREN EN EL TEMA</t>
        </r>
      </text>
    </comment>
    <comment ref="A203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4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5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6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7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AQUELLOS USUARIOS QUE RECIBEN AGUA LAS 24 HRS LOS 7 DIAS</t>
        </r>
      </text>
    </comment>
    <comment ref="L208" authorId="2" shapeId="0" xr:uid="{00000000-0006-0000-0000-000034000000}">
      <text>
        <r>
          <rPr>
            <b/>
            <sz val="9"/>
            <color indexed="81"/>
            <rFont val="Tahoma"/>
            <family val="2"/>
          </rPr>
          <t>ESTE DATO SE OBTUVO POR NELLY / YA QUE DANY ESTABA DE VACACIONES ESTE ES APROX</t>
        </r>
      </text>
    </comment>
    <comment ref="A209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TOMAS CON SERVICIO DE TANDEO.</t>
        </r>
      </text>
    </comment>
  </commentList>
</comments>
</file>

<file path=xl/sharedStrings.xml><?xml version="1.0" encoding="utf-8"?>
<sst xmlns="http://schemas.openxmlformats.org/spreadsheetml/2006/main" count="224" uniqueCount="176">
  <si>
    <t>Comercial</t>
  </si>
  <si>
    <t>PROGRAMA DE INDICADORES DE GESTION DE ORGANISMOS OPERADORES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</si>
  <si>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</si>
  <si>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</si>
  <si>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</si>
  <si>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</si>
  <si>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</si>
  <si>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</si>
  <si>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</si>
  <si>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</si>
  <si>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</si>
  <si>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</si>
  <si>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</si>
  <si>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</si>
  <si>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</si>
  <si>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</si>
  <si>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</si>
  <si>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</si>
  <si>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</si>
  <si>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</si>
  <si>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Resultados de Gestion</t>
  </si>
  <si>
    <t>1. Ingresos  (A+B)</t>
  </si>
  <si>
    <t>i) ingresos por agua, alcantarillado y saneamiento</t>
  </si>
  <si>
    <t>b) Descuento social</t>
  </si>
  <si>
    <t>c) Bonificaciones</t>
  </si>
  <si>
    <t>2. Egresos (A+B+C)</t>
  </si>
  <si>
    <t>a) Servicios personales</t>
  </si>
  <si>
    <t>b) Materiales y suministros</t>
  </si>
  <si>
    <t>c) Servicios Generales (i+ii+iii)</t>
  </si>
  <si>
    <t>i) Energía eléctrica (operación)</t>
  </si>
  <si>
    <t>iv) Resto de los Servicios</t>
  </si>
  <si>
    <t>Resultado del Ejercicio</t>
  </si>
  <si>
    <t>B) Creditos</t>
  </si>
  <si>
    <t>C) Inversiones propias</t>
  </si>
  <si>
    <t>Ampliación</t>
  </si>
  <si>
    <t>Rehabilitación</t>
  </si>
  <si>
    <t>Activo Fijo</t>
  </si>
  <si>
    <t>Deficit</t>
  </si>
  <si>
    <t>D) Inversiones de Gobierno</t>
  </si>
  <si>
    <t>Cuentas de Balance</t>
  </si>
  <si>
    <t>Saldo En Bancos</t>
  </si>
  <si>
    <t>Cuenta Corriente</t>
  </si>
  <si>
    <t>Provisiones</t>
  </si>
  <si>
    <t>Inversiones</t>
  </si>
  <si>
    <t>Activo Circulante</t>
  </si>
  <si>
    <t xml:space="preserve">       Activo Total</t>
  </si>
  <si>
    <t>Pasivo Circulante</t>
  </si>
  <si>
    <t xml:space="preserve">       Pasivo Total</t>
  </si>
  <si>
    <t xml:space="preserve">      Saldo DFEA pendente de pago</t>
  </si>
  <si>
    <t>Energía Eléctrica de Operación en KW (A+B+C)</t>
  </si>
  <si>
    <t>A) Agua potable</t>
  </si>
  <si>
    <t>B) Alcantarillado</t>
  </si>
  <si>
    <t>C) Saneamiento</t>
  </si>
  <si>
    <t>Desglose Consumo Eléctrico $ (Pesos)</t>
  </si>
  <si>
    <t>Avance de Estudio de Eficiencia Electromecanica (% avance)</t>
  </si>
  <si>
    <t>Avance de Diagnostico de Medición de Presiones y Recuperción de caudales (% avance)</t>
  </si>
  <si>
    <t>N/A</t>
  </si>
  <si>
    <t>Agua Potable</t>
  </si>
  <si>
    <r>
      <t>Volumen de agua producida en m</t>
    </r>
    <r>
      <rPr>
        <b/>
        <vertAlign val="superscript"/>
        <sz val="11"/>
        <color indexed="8"/>
        <rFont val="Arial"/>
        <family val="2"/>
      </rPr>
      <t>3</t>
    </r>
  </si>
  <si>
    <t>Pozo Profundo</t>
  </si>
  <si>
    <t>Galerias Filtrantes</t>
  </si>
  <si>
    <t>Manantial</t>
  </si>
  <si>
    <t>Presas</t>
  </si>
  <si>
    <t>Volumen de agua facturada en m3 (A+B+C+D+E)</t>
  </si>
  <si>
    <t>A) Doméstico</t>
  </si>
  <si>
    <t>B) Comercial</t>
  </si>
  <si>
    <t>C) Industrial</t>
  </si>
  <si>
    <t>D) Escolar</t>
  </si>
  <si>
    <t>E) Público</t>
  </si>
  <si>
    <t>Volumen de agua cobrado en m3 (A+B)</t>
  </si>
  <si>
    <t>A) A Tiempo</t>
  </si>
  <si>
    <t>B) Con Rezago</t>
  </si>
  <si>
    <t>Saneamiento</t>
  </si>
  <si>
    <t>Agua Tratada (lagunas de oxidación, PTAR, etc)</t>
  </si>
  <si>
    <t>Volumen de agua tratado en m3 (entra a planta)</t>
  </si>
  <si>
    <t>Volumen de agua producido en m3 (sale de planta)</t>
  </si>
  <si>
    <t xml:space="preserve">     A) Vendida</t>
  </si>
  <si>
    <t xml:space="preserve">     B) Comprometida</t>
  </si>
  <si>
    <t xml:space="preserve">     C) Descargada</t>
  </si>
  <si>
    <t>Facturación de Agua, Alcant. y Saneamiento en $ (A+B+C+D+E)</t>
  </si>
  <si>
    <t>Cobrado de Agua, Alcant. y Saneamiento en $ (A+B+C+D+E)</t>
  </si>
  <si>
    <t>No. De Reconexiones del Mes</t>
  </si>
  <si>
    <t>Importe de Multas Cobradas</t>
  </si>
  <si>
    <t/>
  </si>
  <si>
    <t>Padrón de usuarios</t>
  </si>
  <si>
    <t>Total de conexiones de agua Activas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</si>
  <si>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</si>
  <si>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</si>
  <si>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</si>
  <si>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</si>
  <si>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</si>
  <si>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</si>
  <si>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</si>
  <si>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C) Conexiones No Activas o Congeladas</t>
  </si>
  <si>
    <t>Total de descargas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</si>
  <si>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</si>
  <si>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</si>
  <si>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</si>
  <si>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</si>
  <si>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</si>
  <si>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</si>
  <si>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</si>
  <si>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</si>
  <si>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</si>
  <si>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</si>
  <si>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mas Popular $</t>
  </si>
  <si>
    <t>A los usuarios de cuota fija se asigna volumen estimado m3/mes</t>
  </si>
  <si>
    <t xml:space="preserve">Coberturas de servicios </t>
  </si>
  <si>
    <t>No. habitantes según censo de INEGI</t>
  </si>
  <si>
    <t>No. de habitantes con servicio de agua potable</t>
  </si>
  <si>
    <t>No. de habitantes con servicio de alcantarillado</t>
  </si>
  <si>
    <t>No. de Localidades Atendidas (comunidades o comites de agua)</t>
  </si>
  <si>
    <t>No. de usuarios  en las Localidades Atendidas</t>
  </si>
  <si>
    <t xml:space="preserve">No. de usuarios con pagos a tiempo </t>
  </si>
  <si>
    <t>No. de usuarios con descuento social</t>
  </si>
  <si>
    <t>Presion minima de suministro en la red (mca)</t>
  </si>
  <si>
    <t>Presión media de suministro en la red (mca)</t>
  </si>
  <si>
    <t>Presion maxima de suministro en la red (mca)</t>
  </si>
  <si>
    <t>Longitud total de tubería de distribución (km)</t>
  </si>
  <si>
    <t>Longitud total de Alcantarillado (km)</t>
  </si>
  <si>
    <t>Longitud de tubería de distribución  rehabilitada (Km)</t>
  </si>
  <si>
    <t>No. de micromedidores rehabilitados</t>
  </si>
  <si>
    <t>No. de micromedidores Instalados Nuevos</t>
  </si>
  <si>
    <t>No. de micromedidores funcionando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</si>
  <si>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</si>
  <si>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</si>
  <si>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</si>
  <si>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</si>
  <si>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</si>
  <si>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</si>
  <si>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</si>
  <si>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</si>
  <si>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</si>
  <si>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</si>
  <si>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No. Fuentes de abastecimiento Activas</t>
  </si>
  <si>
    <t>No. De Tanques de Almacenamiento</t>
  </si>
  <si>
    <t>Recursos humanos</t>
  </si>
  <si>
    <t>A) Empleados Activos (a+b+c)</t>
  </si>
  <si>
    <t>a) Administración          Confianza</t>
  </si>
  <si>
    <t xml:space="preserve">                                   Sindicalizados</t>
  </si>
  <si>
    <t>b) Comercialización       Confianza</t>
  </si>
  <si>
    <t>c) Operación                 Confianza</t>
  </si>
  <si>
    <t xml:space="preserve">                                          Sindicalizados</t>
  </si>
  <si>
    <t>Sistemas de Información de Usuarios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</si>
  <si>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</si>
  <si>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</si>
  <si>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</si>
  <si>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</si>
  <si>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</si>
  <si>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</si>
  <si>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</si>
  <si>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</si>
  <si>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 xml:space="preserve">iii) DFEA Pagados </t>
  </si>
  <si>
    <t>d) Apoyos y transferencias y Otros</t>
  </si>
  <si>
    <r>
      <t>Volumen de Almacenamiento de los Tanques m</t>
    </r>
    <r>
      <rPr>
        <vertAlign val="superscript"/>
        <sz val="11"/>
        <color rgb="FFFF0000"/>
        <rFont val="Arial"/>
        <family val="2"/>
      </rPr>
      <t>3</t>
    </r>
  </si>
  <si>
    <r>
      <t xml:space="preserve">B) Pensionados y jubilados </t>
    </r>
    <r>
      <rPr>
        <sz val="12"/>
        <color rgb="FFFF0000"/>
        <rFont val="Arial"/>
        <family val="2"/>
      </rPr>
      <t xml:space="preserve">  Confianza</t>
    </r>
  </si>
  <si>
    <t>No. De Cortes Efectivos del Mes</t>
  </si>
  <si>
    <t>* NO REPETIR LAS BONIFICACIONES, DESCUENTOS Y AJUSTES EN LOS GASTOS OPERATIVOS.</t>
  </si>
  <si>
    <t>Cobertura de Alcantarillado</t>
  </si>
  <si>
    <t xml:space="preserve">              Domiciliaria $   20 m3</t>
  </si>
  <si>
    <t xml:space="preserve">               Comercial $  20 m3</t>
  </si>
  <si>
    <t xml:space="preserve">               Industrial $   50 m3</t>
  </si>
  <si>
    <t>JUNTA MUNICIPAL DE AGUA Y SANEAMIENTO DE ALDAMA</t>
  </si>
  <si>
    <t xml:space="preserve">     i) Tranferencia al resto Sect Pub (5% JCAS)</t>
  </si>
  <si>
    <t>Ejercicio Fiscal 2021</t>
  </si>
  <si>
    <t>a) Derechos (i+ii)</t>
  </si>
  <si>
    <t>A) Ingresos de gestion (a+b+c)</t>
  </si>
  <si>
    <t>ii) resto de los ingresos por derechos</t>
  </si>
  <si>
    <t>b) Productos</t>
  </si>
  <si>
    <t>B) Participaciones, Aportaciones, Convenios</t>
  </si>
  <si>
    <t>d) Ajustes</t>
  </si>
  <si>
    <t>c) Ingresos por Venta de Bienes y Prestacion Servicios</t>
  </si>
  <si>
    <t>C) Otros Ingresos y Beneficios Varios</t>
  </si>
  <si>
    <t>e) Otros Gastos y Perdidas Extraordinarias</t>
  </si>
  <si>
    <t>A) Costos y gastos de Operación (a+b+c+d+e)</t>
  </si>
  <si>
    <t xml:space="preserve">     ii) Resto de Tranferencia al resto Sect Pub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</si>
</sst>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(* #,##0.00_);_(* \(#,##0.00\);_(* &quot;-&quot;??_);_(@_)"/>
    <numFmt numFmtId="167" formatCode="_-* #,##0_-;\-* #,##0_-;_-* &quot;-&quot;??_-;_-@_-"/>
    <numFmt numFmtId="170" formatCode="#,##0.00_ ;\-#,##0.00\ "/>
    <numFmt numFmtId="171" formatCode="_(* #,##0_);_(* \(#,##0\);_(* &quot;-&quot;??_);_(@_)"/>
    <numFmt numFmtId="172" formatCode="#,##0.00_ ;[Red]\-#,##0.00\ "/>
    <numFmt numFmtId="173" formatCode="#,##0_ ;[Red]\-#,##0\ "/>
    <numFmt numFmtId="174" formatCode="#,##0.00;[Red]#,##0.00"/>
    <numFmt numFmtId="175" formatCode="_-* #,##0.000_-;\-* #,##0.0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rgb="FFFF0000"/>
      <name val="Arial"/>
      <family val="2"/>
    </font>
    <font>
      <b/>
      <sz val="10"/>
      <name val="Arial"/>
      <family val="2"/>
    </font>
    <font>
      <b/>
      <sz val="8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6" fillId="2" borderId="0" xfId="3" applyFont="1" applyFill="1"/>
    <xf numFmtId="0" fontId="2" fillId="0" borderId="0" xfId="0" applyFont="1"/>
    <xf numFmtId="1" fontId="10" fillId="0" borderId="0" xfId="3" applyNumberFormat="1" applyFont="1" applyAlignment="1">
      <alignment horizontal="center"/>
    </xf>
    <xf numFmtId="1" fontId="11" fillId="0" borderId="0" xfId="3" applyNumberFormat="1" applyFont="1" applyAlignment="1">
      <alignment horizontal="center"/>
    </xf>
    <xf numFmtId="0" fontId="6" fillId="0" borderId="0" xfId="3" applyFont="1"/>
    <xf numFmtId="0" fontId="12" fillId="6" borderId="1" xfId="3" applyFont="1" applyFill="1" applyBorder="1" applyAlignment="1">
      <alignment horizontal="center" vertical="center"/>
    </xf>
    <xf numFmtId="1" fontId="12" fillId="6" borderId="1" xfId="3" applyNumberFormat="1" applyFont="1" applyFill="1" applyBorder="1" applyAlignment="1">
      <alignment horizontal="center" vertical="center" wrapText="1"/>
    </xf>
    <xf numFmtId="1" fontId="13" fillId="6" borderId="1" xfId="3" applyNumberFormat="1" applyFont="1" applyFill="1" applyBorder="1" applyAlignment="1">
      <alignment horizontal="center" vertical="center" wrapText="1"/>
    </xf>
    <xf numFmtId="0" fontId="8" fillId="4" borderId="0" xfId="3" applyFont="1" applyFill="1" applyAlignment="1">
      <alignment horizontal="center" vertical="center"/>
    </xf>
    <xf numFmtId="1" fontId="12" fillId="0" borderId="0" xfId="3" applyNumberFormat="1" applyFont="1" applyAlignment="1">
      <alignment horizontal="center" vertical="center" wrapText="1"/>
    </xf>
    <xf numFmtId="1" fontId="13" fillId="0" borderId="0" xfId="3" applyNumberFormat="1" applyFont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/>
    </xf>
    <xf numFmtId="43" fontId="14" fillId="7" borderId="3" xfId="4" applyFont="1" applyFill="1" applyBorder="1" applyAlignment="1" applyProtection="1">
      <alignment horizontal="right" vertical="center"/>
    </xf>
    <xf numFmtId="9" fontId="14" fillId="7" borderId="4" xfId="2" applyFont="1" applyFill="1" applyBorder="1" applyAlignment="1" applyProtection="1">
      <alignment horizontal="right" vertical="center"/>
    </xf>
    <xf numFmtId="0" fontId="15" fillId="8" borderId="5" xfId="0" applyFont="1" applyFill="1" applyBorder="1" applyAlignment="1">
      <alignment horizontal="left" vertical="center" indent="2"/>
    </xf>
    <xf numFmtId="43" fontId="16" fillId="8" borderId="6" xfId="4" applyFont="1" applyFill="1" applyBorder="1" applyAlignment="1" applyProtection="1">
      <alignment horizontal="right" vertical="center"/>
    </xf>
    <xf numFmtId="9" fontId="16" fillId="8" borderId="7" xfId="2" applyFont="1" applyFill="1" applyBorder="1" applyAlignment="1" applyProtection="1">
      <alignment horizontal="right" vertical="center"/>
    </xf>
    <xf numFmtId="0" fontId="15" fillId="8" borderId="5" xfId="0" applyFont="1" applyFill="1" applyBorder="1" applyAlignment="1">
      <alignment horizontal="left" vertical="center" indent="4"/>
    </xf>
    <xf numFmtId="43" fontId="16" fillId="0" borderId="6" xfId="4" applyFont="1" applyFill="1" applyBorder="1" applyAlignment="1" applyProtection="1">
      <alignment horizontal="right" vertical="center"/>
    </xf>
    <xf numFmtId="43" fontId="16" fillId="3" borderId="6" xfId="4" applyFont="1" applyFill="1" applyBorder="1" applyAlignment="1" applyProtection="1">
      <alignment horizontal="right" vertical="center"/>
    </xf>
    <xf numFmtId="9" fontId="16" fillId="0" borderId="7" xfId="2" applyFont="1" applyFill="1" applyBorder="1" applyAlignment="1" applyProtection="1">
      <alignment horizontal="right" vertical="center"/>
    </xf>
    <xf numFmtId="172" fontId="16" fillId="0" borderId="6" xfId="4" applyNumberFormat="1" applyFont="1" applyFill="1" applyBorder="1" applyAlignment="1" applyProtection="1">
      <alignment horizontal="right" vertical="center"/>
    </xf>
    <xf numFmtId="0" fontId="16" fillId="0" borderId="5" xfId="0" applyFont="1" applyBorder="1" applyAlignment="1">
      <alignment horizontal="left" vertical="center" indent="2"/>
    </xf>
    <xf numFmtId="9" fontId="14" fillId="0" borderId="8" xfId="2" applyFont="1" applyFill="1" applyBorder="1" applyAlignment="1" applyProtection="1">
      <alignment horizontal="right" vertical="center"/>
    </xf>
    <xf numFmtId="167" fontId="17" fillId="0" borderId="7" xfId="4" applyNumberFormat="1" applyFont="1" applyFill="1" applyBorder="1" applyAlignment="1" applyProtection="1">
      <alignment horizontal="right" vertical="center"/>
    </xf>
    <xf numFmtId="0" fontId="8" fillId="7" borderId="5" xfId="0" applyFont="1" applyFill="1" applyBorder="1" applyAlignment="1">
      <alignment horizontal="left" vertical="center"/>
    </xf>
    <xf numFmtId="43" fontId="14" fillId="7" borderId="6" xfId="4" applyFont="1" applyFill="1" applyBorder="1" applyAlignment="1" applyProtection="1">
      <alignment horizontal="right" vertical="center"/>
    </xf>
    <xf numFmtId="9" fontId="16" fillId="7" borderId="7" xfId="2" applyFont="1" applyFill="1" applyBorder="1" applyAlignment="1" applyProtection="1">
      <alignment horizontal="right" vertical="center"/>
    </xf>
    <xf numFmtId="43" fontId="14" fillId="8" borderId="6" xfId="4" applyFont="1" applyFill="1" applyBorder="1" applyAlignment="1" applyProtection="1">
      <alignment horizontal="right" vertical="center"/>
    </xf>
    <xf numFmtId="0" fontId="16" fillId="8" borderId="5" xfId="0" applyFont="1" applyFill="1" applyBorder="1" applyAlignment="1">
      <alignment horizontal="left" vertical="center" indent="4"/>
    </xf>
    <xf numFmtId="9" fontId="14" fillId="0" borderId="7" xfId="2" applyFont="1" applyFill="1" applyBorder="1" applyAlignment="1" applyProtection="1">
      <alignment horizontal="right" vertical="center"/>
    </xf>
    <xf numFmtId="0" fontId="18" fillId="8" borderId="5" xfId="0" applyFont="1" applyFill="1" applyBorder="1" applyAlignment="1">
      <alignment horizontal="right" vertical="center"/>
    </xf>
    <xf numFmtId="0" fontId="16" fillId="8" borderId="5" xfId="0" applyFont="1" applyFill="1" applyBorder="1" applyAlignment="1">
      <alignment horizontal="left" vertical="center" indent="2"/>
    </xf>
    <xf numFmtId="0" fontId="18" fillId="0" borderId="5" xfId="0" applyFont="1" applyBorder="1" applyAlignment="1">
      <alignment horizontal="right" vertical="center"/>
    </xf>
    <xf numFmtId="43" fontId="14" fillId="0" borderId="6" xfId="4" applyFont="1" applyFill="1" applyBorder="1" applyAlignment="1" applyProtection="1">
      <alignment horizontal="right" vertical="center"/>
    </xf>
    <xf numFmtId="0" fontId="14" fillId="4" borderId="5" xfId="0" applyFont="1" applyFill="1" applyBorder="1" applyAlignment="1">
      <alignment horizontal="center" vertical="center"/>
    </xf>
    <xf numFmtId="0" fontId="6" fillId="0" borderId="9" xfId="3" applyFont="1" applyBorder="1"/>
    <xf numFmtId="43" fontId="16" fillId="0" borderId="10" xfId="4" applyFont="1" applyFill="1" applyBorder="1" applyAlignment="1" applyProtection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43" fontId="14" fillId="9" borderId="3" xfId="4" applyFont="1" applyFill="1" applyBorder="1" applyAlignment="1" applyProtection="1">
      <alignment horizontal="right" vertical="center"/>
    </xf>
    <xf numFmtId="43" fontId="16" fillId="0" borderId="6" xfId="4" applyFont="1" applyFill="1" applyBorder="1" applyAlignment="1" applyProtection="1">
      <alignment horizontal="right" vertical="center"/>
      <protection locked="0"/>
    </xf>
    <xf numFmtId="43" fontId="16" fillId="3" borderId="6" xfId="4" applyFont="1" applyFill="1" applyBorder="1" applyAlignment="1" applyProtection="1">
      <alignment horizontal="right" vertical="center"/>
      <protection locked="0"/>
    </xf>
    <xf numFmtId="0" fontId="8" fillId="9" borderId="2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 indent="2"/>
    </xf>
    <xf numFmtId="0" fontId="16" fillId="0" borderId="5" xfId="0" applyFont="1" applyBorder="1" applyAlignment="1">
      <alignment horizontal="left" vertical="center"/>
    </xf>
    <xf numFmtId="9" fontId="16" fillId="0" borderId="6" xfId="2" applyFont="1" applyFill="1" applyBorder="1" applyAlignment="1" applyProtection="1">
      <alignment horizontal="right" vertical="center"/>
      <protection locked="0"/>
    </xf>
    <xf numFmtId="9" fontId="16" fillId="0" borderId="6" xfId="4" applyNumberFormat="1" applyFont="1" applyFill="1" applyBorder="1" applyAlignment="1" applyProtection="1">
      <alignment horizontal="right" vertical="center"/>
    </xf>
    <xf numFmtId="167" fontId="14" fillId="9" borderId="3" xfId="4" applyNumberFormat="1" applyFont="1" applyFill="1" applyBorder="1" applyAlignment="1" applyProtection="1">
      <alignment horizontal="right" vertical="center"/>
    </xf>
    <xf numFmtId="167" fontId="16" fillId="0" borderId="6" xfId="4" applyNumberFormat="1" applyFont="1" applyFill="1" applyBorder="1" applyAlignment="1" applyProtection="1">
      <alignment horizontal="right" vertical="center"/>
      <protection locked="0"/>
    </xf>
    <xf numFmtId="167" fontId="16" fillId="0" borderId="6" xfId="4" applyNumberFormat="1" applyFont="1" applyFill="1" applyBorder="1" applyAlignment="1" applyProtection="1">
      <alignment horizontal="right" vertical="center"/>
    </xf>
    <xf numFmtId="0" fontId="21" fillId="0" borderId="5" xfId="5" applyFont="1" applyBorder="1"/>
    <xf numFmtId="3" fontId="21" fillId="0" borderId="0" xfId="5" applyNumberFormat="1" applyFont="1"/>
    <xf numFmtId="0" fontId="8" fillId="8" borderId="5" xfId="0" applyFont="1" applyFill="1" applyBorder="1" applyAlignment="1">
      <alignment horizontal="left" vertical="center"/>
    </xf>
    <xf numFmtId="43" fontId="16" fillId="0" borderId="6" xfId="4" applyFont="1" applyFill="1" applyBorder="1" applyAlignment="1" applyProtection="1">
      <alignment horizontal="left" vertical="center"/>
      <protection locked="0"/>
    </xf>
    <xf numFmtId="171" fontId="21" fillId="0" borderId="5" xfId="4" applyNumberFormat="1" applyFont="1" applyBorder="1" applyAlignment="1" applyProtection="1">
      <alignment horizontal="left" indent="1"/>
    </xf>
    <xf numFmtId="171" fontId="22" fillId="0" borderId="6" xfId="4" applyNumberFormat="1" applyFont="1" applyFill="1" applyBorder="1" applyProtection="1"/>
    <xf numFmtId="171" fontId="22" fillId="0" borderId="5" xfId="4" applyNumberFormat="1" applyFont="1" applyFill="1" applyBorder="1" applyAlignment="1" applyProtection="1">
      <alignment horizontal="left" indent="1"/>
    </xf>
    <xf numFmtId="171" fontId="22" fillId="0" borderId="6" xfId="4" applyNumberFormat="1" applyFont="1" applyFill="1" applyBorder="1" applyProtection="1">
      <protection locked="0"/>
    </xf>
    <xf numFmtId="0" fontId="8" fillId="4" borderId="5" xfId="0" applyFont="1" applyFill="1" applyBorder="1" applyAlignment="1">
      <alignment horizontal="left" vertical="center"/>
    </xf>
    <xf numFmtId="43" fontId="14" fillId="8" borderId="6" xfId="4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left" vertical="center" indent="3"/>
    </xf>
    <xf numFmtId="43" fontId="14" fillId="3" borderId="6" xfId="4" applyFont="1" applyFill="1" applyBorder="1" applyAlignment="1" applyProtection="1">
      <alignment horizontal="right" vertical="center"/>
      <protection locked="0"/>
    </xf>
    <xf numFmtId="171" fontId="22" fillId="0" borderId="5" xfId="4" applyNumberFormat="1" applyFont="1" applyBorder="1" applyAlignment="1" applyProtection="1">
      <alignment horizontal="left" indent="1"/>
    </xf>
    <xf numFmtId="173" fontId="22" fillId="0" borderId="6" xfId="6" applyNumberFormat="1" applyFont="1" applyFill="1" applyBorder="1" applyProtection="1"/>
    <xf numFmtId="0" fontId="16" fillId="3" borderId="5" xfId="0" applyFont="1" applyFill="1" applyBorder="1" applyAlignment="1">
      <alignment horizontal="left" vertical="center" indent="2"/>
    </xf>
    <xf numFmtId="171" fontId="22" fillId="0" borderId="5" xfId="4" quotePrefix="1" applyNumberFormat="1" applyFont="1" applyBorder="1" applyAlignment="1" applyProtection="1">
      <alignment horizontal="left" indent="3"/>
    </xf>
    <xf numFmtId="3" fontId="22" fillId="0" borderId="6" xfId="4" applyNumberFormat="1" applyFont="1" applyFill="1" applyBorder="1" applyProtection="1">
      <protection locked="0"/>
    </xf>
    <xf numFmtId="167" fontId="14" fillId="7" borderId="6" xfId="4" applyNumberFormat="1" applyFont="1" applyFill="1" applyBorder="1" applyAlignment="1" applyProtection="1">
      <alignment horizontal="right" vertical="center"/>
    </xf>
    <xf numFmtId="0" fontId="14" fillId="8" borderId="5" xfId="0" applyFont="1" applyFill="1" applyBorder="1" applyAlignment="1">
      <alignment horizontal="left" vertical="center" indent="2"/>
    </xf>
    <xf numFmtId="167" fontId="14" fillId="8" borderId="6" xfId="4" applyNumberFormat="1" applyFont="1" applyFill="1" applyBorder="1" applyAlignment="1" applyProtection="1">
      <alignment horizontal="right" vertical="center"/>
    </xf>
    <xf numFmtId="0" fontId="8" fillId="3" borderId="5" xfId="0" applyFont="1" applyFill="1" applyBorder="1" applyAlignment="1">
      <alignment horizontal="left" vertical="center"/>
    </xf>
    <xf numFmtId="167" fontId="16" fillId="3" borderId="6" xfId="4" applyNumberFormat="1" applyFont="1" applyFill="1" applyBorder="1" applyAlignment="1" applyProtection="1">
      <alignment horizontal="right" vertical="center"/>
      <protection locked="0"/>
    </xf>
    <xf numFmtId="167" fontId="14" fillId="8" borderId="6" xfId="4" applyNumberFormat="1" applyFont="1" applyFill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horizontal="left" vertical="center"/>
    </xf>
    <xf numFmtId="167" fontId="14" fillId="0" borderId="6" xfId="4" applyNumberFormat="1" applyFont="1" applyFill="1" applyBorder="1" applyAlignment="1" applyProtection="1">
      <alignment horizontal="right" vertical="center"/>
      <protection locked="0"/>
    </xf>
    <xf numFmtId="174" fontId="22" fillId="0" borderId="6" xfId="4" applyNumberFormat="1" applyFont="1" applyFill="1" applyBorder="1" applyProtection="1">
      <protection locked="0"/>
    </xf>
    <xf numFmtId="171" fontId="21" fillId="0" borderId="11" xfId="4" quotePrefix="1" applyNumberFormat="1" applyFont="1" applyFill="1" applyBorder="1" applyAlignment="1" applyProtection="1">
      <alignment vertical="center" wrapText="1"/>
    </xf>
    <xf numFmtId="171" fontId="22" fillId="0" borderId="6" xfId="4" applyNumberFormat="1" applyFont="1" applyFill="1" applyBorder="1" applyAlignment="1" applyProtection="1">
      <alignment vertical="center"/>
      <protection locked="0"/>
    </xf>
    <xf numFmtId="175" fontId="16" fillId="0" borderId="6" xfId="4" applyNumberFormat="1" applyFont="1" applyFill="1" applyBorder="1" applyAlignment="1" applyProtection="1">
      <alignment horizontal="right" vertical="center"/>
      <protection locked="0"/>
    </xf>
    <xf numFmtId="3" fontId="22" fillId="3" borderId="6" xfId="4" applyNumberFormat="1" applyFont="1" applyFill="1" applyBorder="1" applyProtection="1">
      <protection locked="0"/>
    </xf>
    <xf numFmtId="167" fontId="16" fillId="3" borderId="12" xfId="4" applyNumberFormat="1" applyFont="1" applyFill="1" applyBorder="1" applyAlignment="1" applyProtection="1">
      <alignment horizontal="right" vertical="center"/>
      <protection locked="0"/>
    </xf>
    <xf numFmtId="167" fontId="16" fillId="0" borderId="13" xfId="4" applyNumberFormat="1" applyFont="1" applyFill="1" applyBorder="1" applyAlignment="1" applyProtection="1">
      <alignment horizontal="right" vertical="center"/>
      <protection locked="0"/>
    </xf>
    <xf numFmtId="0" fontId="16" fillId="8" borderId="5" xfId="0" applyFont="1" applyFill="1" applyBorder="1" applyAlignment="1">
      <alignment horizontal="left" vertical="center"/>
    </xf>
    <xf numFmtId="167" fontId="16" fillId="8" borderId="6" xfId="4" applyNumberFormat="1" applyFont="1" applyFill="1" applyBorder="1" applyAlignment="1" applyProtection="1">
      <alignment horizontal="right" vertical="center"/>
      <protection locked="0"/>
    </xf>
    <xf numFmtId="1" fontId="16" fillId="0" borderId="6" xfId="7" applyNumberFormat="1" applyFont="1" applyFill="1" applyBorder="1" applyAlignment="1" applyProtection="1">
      <alignment horizontal="right" vertical="center"/>
      <protection locked="0"/>
    </xf>
    <xf numFmtId="0" fontId="22" fillId="0" borderId="14" xfId="5" applyFont="1" applyBorder="1"/>
    <xf numFmtId="173" fontId="22" fillId="0" borderId="15" xfId="5" applyNumberFormat="1" applyFont="1" applyBorder="1" applyAlignment="1">
      <alignment horizontal="right"/>
    </xf>
    <xf numFmtId="0" fontId="22" fillId="0" borderId="16" xfId="5" applyFont="1" applyBorder="1"/>
    <xf numFmtId="173" fontId="22" fillId="0" borderId="0" xfId="5" applyNumberFormat="1" applyFont="1"/>
    <xf numFmtId="0" fontId="22" fillId="0" borderId="17" xfId="5" applyFont="1" applyBorder="1" applyAlignment="1">
      <alignment horizontal="left" indent="1"/>
    </xf>
    <xf numFmtId="173" fontId="22" fillId="0" borderId="6" xfId="5" applyNumberFormat="1" applyFont="1" applyBorder="1" applyAlignment="1" applyProtection="1">
      <alignment horizontal="right"/>
      <protection locked="0"/>
    </xf>
    <xf numFmtId="173" fontId="22" fillId="0" borderId="12" xfId="5" applyNumberFormat="1" applyFont="1" applyBorder="1" applyAlignment="1" applyProtection="1">
      <alignment horizontal="right"/>
      <protection locked="0"/>
    </xf>
    <xf numFmtId="167" fontId="14" fillId="0" borderId="6" xfId="4" applyNumberFormat="1" applyFont="1" applyFill="1" applyBorder="1" applyAlignment="1" applyProtection="1">
      <alignment horizontal="right" vertical="center"/>
    </xf>
    <xf numFmtId="167" fontId="14" fillId="0" borderId="18" xfId="4" applyNumberFormat="1" applyFont="1" applyFill="1" applyBorder="1" applyAlignment="1" applyProtection="1">
      <alignment horizontal="right" vertical="center"/>
    </xf>
    <xf numFmtId="167" fontId="14" fillId="0" borderId="15" xfId="4" applyNumberFormat="1" applyFont="1" applyFill="1" applyBorder="1" applyAlignment="1" applyProtection="1">
      <alignment horizontal="right" vertical="center"/>
    </xf>
    <xf numFmtId="167" fontId="16" fillId="0" borderId="12" xfId="4" applyNumberFormat="1" applyFont="1" applyFill="1" applyBorder="1" applyAlignment="1" applyProtection="1">
      <alignment horizontal="right" vertical="center"/>
      <protection locked="0"/>
    </xf>
    <xf numFmtId="167" fontId="16" fillId="0" borderId="20" xfId="4" applyNumberFormat="1" applyFont="1" applyFill="1" applyBorder="1" applyAlignment="1" applyProtection="1">
      <alignment horizontal="right" vertical="center"/>
      <protection locked="0"/>
    </xf>
    <xf numFmtId="167" fontId="16" fillId="3" borderId="21" xfId="4" applyNumberFormat="1" applyFont="1" applyFill="1" applyBorder="1" applyAlignment="1" applyProtection="1">
      <alignment horizontal="right" vertical="center"/>
      <protection locked="0"/>
    </xf>
    <xf numFmtId="167" fontId="16" fillId="0" borderId="22" xfId="4" applyNumberFormat="1" applyFont="1" applyFill="1" applyBorder="1" applyAlignment="1" applyProtection="1">
      <alignment horizontal="right" vertical="center"/>
      <protection locked="0"/>
    </xf>
    <xf numFmtId="0" fontId="22" fillId="0" borderId="0" xfId="5" applyFont="1"/>
    <xf numFmtId="49" fontId="23" fillId="0" borderId="0" xfId="5" applyNumberFormat="1" applyFont="1"/>
    <xf numFmtId="167" fontId="14" fillId="3" borderId="6" xfId="4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Border="1" applyAlignment="1">
      <alignment horizontal="left" vertical="center" indent="6"/>
    </xf>
    <xf numFmtId="0" fontId="25" fillId="0" borderId="5" xfId="0" applyFont="1" applyBorder="1" applyAlignment="1">
      <alignment horizontal="left" vertical="center" indent="4"/>
    </xf>
    <xf numFmtId="0" fontId="25" fillId="0" borderId="5" xfId="0" applyFont="1" applyBorder="1" applyAlignment="1">
      <alignment horizontal="left" vertical="center" indent="2"/>
    </xf>
    <xf numFmtId="0" fontId="26" fillId="0" borderId="5" xfId="0" applyFont="1" applyBorder="1" applyAlignment="1">
      <alignment horizontal="left" vertical="center" indent="4"/>
    </xf>
    <xf numFmtId="0" fontId="25" fillId="0" borderId="5" xfId="0" applyFont="1" applyBorder="1" applyAlignment="1">
      <alignment horizontal="left" vertical="center"/>
    </xf>
    <xf numFmtId="0" fontId="25" fillId="3" borderId="9" xfId="0" applyFont="1" applyFill="1" applyBorder="1" applyAlignment="1">
      <alignment horizontal="left" vertical="center" indent="2"/>
    </xf>
    <xf numFmtId="0" fontId="27" fillId="0" borderId="5" xfId="0" applyFont="1" applyBorder="1" applyAlignment="1">
      <alignment horizontal="left"/>
    </xf>
    <xf numFmtId="167" fontId="16" fillId="0" borderId="6" xfId="4" applyNumberFormat="1" applyFont="1" applyFill="1" applyBorder="1" applyAlignment="1" applyProtection="1">
      <alignment horizontal="right"/>
      <protection locked="0"/>
    </xf>
    <xf numFmtId="0" fontId="28" fillId="8" borderId="5" xfId="0" applyFont="1" applyFill="1" applyBorder="1" applyAlignment="1">
      <alignment horizontal="left" vertical="center"/>
    </xf>
    <xf numFmtId="0" fontId="25" fillId="0" borderId="5" xfId="0" applyFont="1" applyBorder="1" applyAlignment="1">
      <alignment horizontal="left"/>
    </xf>
    <xf numFmtId="0" fontId="0" fillId="0" borderId="0" xfId="0" applyAlignment="1"/>
    <xf numFmtId="0" fontId="28" fillId="3" borderId="5" xfId="0" applyFont="1" applyFill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0" fillId="10" borderId="0" xfId="0" applyFill="1"/>
    <xf numFmtId="166" fontId="16" fillId="0" borderId="6" xfId="1" applyFont="1" applyFill="1" applyBorder="1" applyAlignment="1" applyProtection="1">
      <alignment horizontal="right" vertical="center"/>
      <protection locked="0"/>
    </xf>
    <xf numFmtId="1" fontId="30" fillId="0" borderId="0" xfId="3" applyNumberFormat="1" applyFont="1" applyAlignment="1">
      <alignment horizontal="center"/>
    </xf>
    <xf numFmtId="0" fontId="0" fillId="0" borderId="0" xfId="0"/>
    <xf numFmtId="0" fontId="31" fillId="11" borderId="5" xfId="0" quotePrefix="1" applyFont="1" applyFill="1" applyBorder="1" applyAlignment="1">
      <alignment horizontal="left" vertical="center" indent="4"/>
    </xf>
    <xf numFmtId="0" fontId="26" fillId="0" borderId="5" xfId="0" applyFont="1" applyBorder="1" applyAlignment="1">
      <alignment horizontal="left" vertical="center" indent="3"/>
    </xf>
    <xf numFmtId="0" fontId="26" fillId="8" borderId="5" xfId="0" applyFont="1" applyFill="1" applyBorder="1" applyAlignment="1">
      <alignment horizontal="left" vertical="center" indent="3"/>
    </xf>
    <xf numFmtId="9" fontId="14" fillId="8" borderId="6" xfId="2" applyFont="1" applyFill="1" applyBorder="1" applyAlignment="1" applyProtection="1">
      <alignment horizontal="right" vertical="center"/>
      <protection locked="0"/>
    </xf>
    <xf numFmtId="167" fontId="14" fillId="0" borderId="13" xfId="4" applyNumberFormat="1" applyFont="1" applyFill="1" applyBorder="1" applyAlignment="1" applyProtection="1">
      <alignment horizontal="right" vertical="center"/>
    </xf>
    <xf numFmtId="167" fontId="16" fillId="3" borderId="20" xfId="4" applyNumberFormat="1" applyFont="1" applyFill="1" applyBorder="1" applyAlignment="1" applyProtection="1">
      <alignment horizontal="right" vertical="center"/>
      <protection locked="0"/>
    </xf>
    <xf numFmtId="43" fontId="16" fillId="0" borderId="13" xfId="4" applyFont="1" applyFill="1" applyBorder="1" applyAlignment="1" applyProtection="1">
      <alignment horizontal="right" vertical="center"/>
    </xf>
    <xf numFmtId="9" fontId="16" fillId="0" borderId="8" xfId="2" applyFont="1" applyFill="1" applyBorder="1" applyAlignment="1" applyProtection="1">
      <alignment horizontal="right" vertical="center"/>
    </xf>
    <xf numFmtId="0" fontId="15" fillId="0" borderId="5" xfId="0" applyFont="1" applyBorder="1" applyAlignment="1">
      <alignment horizontal="left" vertical="center" indent="6"/>
    </xf>
    <xf numFmtId="170" fontId="16" fillId="0" borderId="6" xfId="4" applyNumberFormat="1" applyFont="1" applyFill="1" applyBorder="1" applyAlignment="1" applyProtection="1">
      <alignment horizontal="right" vertical="center"/>
    </xf>
    <xf numFmtId="1" fontId="4" fillId="2" borderId="0" xfId="0" applyNumberFormat="1" applyFont="1" applyFill="1" applyAlignment="1">
      <alignment horizontal="center"/>
    </xf>
    <xf numFmtId="1" fontId="7" fillId="2" borderId="0" xfId="3" applyNumberFormat="1" applyFont="1" applyFill="1" applyAlignment="1">
      <alignment horizontal="center"/>
    </xf>
    <xf numFmtId="1" fontId="8" fillId="2" borderId="0" xfId="3" applyNumberFormat="1" applyFont="1" applyFill="1" applyAlignment="1">
      <alignment horizontal="center"/>
    </xf>
    <xf numFmtId="1" fontId="9" fillId="5" borderId="0" xfId="3" applyNumberFormat="1" applyFont="1" applyFill="1" applyAlignment="1">
      <alignment horizontal="center"/>
    </xf>
  </cellXfs>
  <cellStyles count="13">
    <cellStyle name="Millares" xfId="1" builtinId="3"/>
    <cellStyle name="Millares 2" xfId="4" xr:uid="{00000000-0005-0000-0000-000001000000}"/>
    <cellStyle name="Millares 2 2" xfId="6" xr:uid="{00000000-0005-0000-0000-000002000000}"/>
    <cellStyle name="Millares 2 2 2" xfId="11" xr:uid="{00000000-0005-0000-0000-000003000000}"/>
    <cellStyle name="Millares 3" xfId="10" xr:uid="{00000000-0005-0000-0000-000004000000}"/>
    <cellStyle name="Millares 4" xfId="8" xr:uid="{00000000-0005-0000-0000-000005000000}"/>
    <cellStyle name="Moneda 2" xfId="7" xr:uid="{00000000-0005-0000-0000-000007000000}"/>
    <cellStyle name="Moneda 3" xfId="12" xr:uid="{00000000-0005-0000-0000-000008000000}"/>
    <cellStyle name="Normal" xfId="0" builtinId="0"/>
    <cellStyle name="Normal 2_ALDAMA 03 MAR 2009 MODIF_PIGOO CONCENTRADOPROG_INDIC_GESTION ORG  OP rvh" xfId="5" xr:uid="{00000000-0005-0000-0000-00000A000000}"/>
    <cellStyle name="Normal 3" xfId="9" xr:uid="{00000000-0005-0000-0000-00000B000000}"/>
    <cellStyle name="Normal_FORMATO DEL PPTO. 2002  SEPT. 4" xfId="3" xr:uid="{00000000-0005-0000-0000-00000C000000}"/>
    <cellStyle name="Porcentaje" xfId="2" builtinId="5"/>
  </cellStyles>
  <dxfs count="0"/>
  <tableStyles count="0" defaultTableStyle="TableStyleMedium2" defaultPivotStyle="PivotStyleLight16"/>
  <colors>
    <mruColors>
      <color rgb="FF0000CC"/>
      <color rgb="FF5D26F8"/>
      <color rgb="FFEA3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412750</xdr:colOff>
      <xdr:row>0</xdr:row>
      <xdr:rowOff>1</xdr:rowOff>
    </xdr:from>
    <xdr:ext cx="1141943" cy="1005152"/>
    <xdr:pic>
      <xdr:nvPicPr>
        <xdr:cNvPr id="2" name="3 Imagen">
          <a:extLst>
            <a:ext uri="{FF2B5EF4-FFF2-40B4-BE49-F238E27FC236}">
              <a16:creationId xmlns:a16="http://schemas.microsoft.com/office/drawing/2014/main" id="{58097C62-9D9E-4EC8-8189-CDDCCF358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5175" y="1"/>
          <a:ext cx="1141943" cy="10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0" cy="973667"/>
    <xdr:pic>
      <xdr:nvPicPr>
        <xdr:cNvPr id="3" name="4 Imagen">
          <a:extLst>
            <a:ext uri="{FF2B5EF4-FFF2-40B4-BE49-F238E27FC236}">
              <a16:creationId xmlns:a16="http://schemas.microsoft.com/office/drawing/2014/main" id="{DB22CA2D-6D9E-4E90-8C6D-094532DDD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0"/>
          <a:ext cx="0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</xdr:colOff>
      <xdr:row>0</xdr:row>
      <xdr:rowOff>0</xdr:rowOff>
    </xdr:from>
    <xdr:ext cx="0" cy="817033"/>
    <xdr:pic>
      <xdr:nvPicPr>
        <xdr:cNvPr id="4" name="3 Imagen">
          <a:extLst>
            <a:ext uri="{FF2B5EF4-FFF2-40B4-BE49-F238E27FC236}">
              <a16:creationId xmlns:a16="http://schemas.microsoft.com/office/drawing/2014/main" id="{151DD97F-1B0C-4E53-BC03-9B46FEA3F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" y="0"/>
          <a:ext cx="0" cy="8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209"/>
  <sheetViews>
    <sheetView tabSelected="1" zoomScale="80" zoomScaleNormal="8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21" sqref="A121"/>
    </sheetView>
  </sheetViews>
  <sheetFormatPr baseColWidth="10" defaultRowHeight="14.4" x14ac:dyDescent="0.3"/>
  <cols>
    <col min="1" max="1" width="66.5546875" style="100" customWidth="1"/>
    <col min="2" max="2" width="20.5546875" style="89" bestFit="1" customWidth="1"/>
    <col min="3" max="4" width="20" style="100" bestFit="1" customWidth="1"/>
    <col min="5" max="5" width="19.88671875" style="100" customWidth="1"/>
    <col min="6" max="8" width="20" style="100" bestFit="1" customWidth="1"/>
    <col min="9" max="9" width="20.5546875" style="100" customWidth="1"/>
    <col min="10" max="11" width="20" style="100" bestFit="1" customWidth="1"/>
    <col min="12" max="12" width="20.5546875" style="100" customWidth="1"/>
    <col min="13" max="13" width="20" style="100" bestFit="1" customWidth="1"/>
    <col min="14" max="14" width="20.5546875" style="100" bestFit="1" customWidth="1"/>
    <col min="15" max="15" width="19.44140625" style="100" bestFit="1" customWidth="1"/>
    <col min="16" max="16" width="27.33203125" style="100" customWidth="1"/>
    <col min="17" max="17" width="18.88671875" style="100" customWidth="1"/>
    <col min="18" max="18" width="9.33203125" style="101" customWidth="1"/>
    <col min="19" max="19" width="4.109375" customWidth="1"/>
    <col min="20" max="20" width="22" customWidth="1"/>
    <col min="21" max="21" width="21.33203125" customWidth="1"/>
    <col min="22" max="22" width="11.44140625" customWidth="1"/>
  </cols>
  <sheetData>
    <row r="1" spans="1:18" ht="21" x14ac:dyDescent="0.4">
      <c r="A1" s="130" t="s">
        <v>162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399999999999999" x14ac:dyDescent="0.3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15.6" x14ac:dyDescent="0.3">
      <c r="A4" s="132" t="s">
        <v>164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8.25" customHeight="1" x14ac:dyDescent="0.3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18" ht="8.25" customHeight="1" x14ac:dyDescent="0.3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</row>
    <row r="8" spans="1:18" ht="15.6" x14ac:dyDescent="0.3">
      <c r="A8" s="2"/>
      <c r="B8" s="118"/>
      <c r="C8" s="3">
        <v>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/>
      <c r="O8" s="4"/>
      <c r="P8" s="4"/>
      <c r="Q8" s="4"/>
      <c r="R8" s="5"/>
    </row>
    <row r="9" spans="1:18" ht="31.2" x14ac:dyDescent="0.3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7" t="s">
        <v>13</v>
      </c>
      <c r="M9" s="7" t="s">
        <v>14</v>
      </c>
      <c r="N9" s="7" t="s">
        <v>15</v>
      </c>
      <c r="O9" s="7" t="s">
        <v>16</v>
      </c>
      <c r="P9" s="7" t="s">
        <v>17</v>
      </c>
      <c r="Q9" s="7" t="s">
        <v>18</v>
      </c>
      <c r="R9" s="8" t="s">
        <v>19</v>
      </c>
    </row>
    <row r="10" spans="1:18" ht="15.6" x14ac:dyDescent="0.3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</row>
    <row r="11" spans="1:18" ht="15.6" x14ac:dyDescent="0.3">
      <c r="A11" s="12" t="s">
        <v>21</v>
      </c>
      <c r="B11" s="13">
        <f t="shared" ref="B11:M11" si="0">+B12+B21+B22</f>
        <v>1426477.8899999997</v>
      </c>
      <c r="C11" s="13">
        <f t="shared" si="0"/>
        <v>1772479.02</v>
      </c>
      <c r="D11" s="13">
        <f t="shared" si="0"/>
        <v>1655456.77</v>
      </c>
      <c r="E11" s="13">
        <f t="shared" si="0"/>
        <v>1348097.35</v>
      </c>
      <c r="F11" s="13">
        <f t="shared" si="0"/>
        <v>1528456.02</v>
      </c>
      <c r="G11" s="13">
        <f t="shared" si="0"/>
        <v>1481867.7999999998</v>
      </c>
      <c r="H11" s="13">
        <f t="shared" si="0"/>
        <v>1547727.48</v>
      </c>
      <c r="I11" s="13">
        <f t="shared" si="0"/>
        <v>1423607.12</v>
      </c>
      <c r="J11" s="13">
        <f t="shared" si="0"/>
        <v>1423530.9000000001</v>
      </c>
      <c r="K11" s="13">
        <f t="shared" si="0"/>
        <v>1864482.23</v>
      </c>
      <c r="L11" s="13">
        <f t="shared" si="0"/>
        <v>2272765.54</v>
      </c>
      <c r="M11" s="13">
        <f t="shared" si="0"/>
        <v>2057144.2200000002</v>
      </c>
      <c r="N11" s="13">
        <f t="shared" ref="N11:P11" si="1">+N12+N21+N22</f>
        <v>19802092.339999996</v>
      </c>
      <c r="O11" s="13">
        <f t="shared" si="1"/>
        <v>18963624.34</v>
      </c>
      <c r="P11" s="13">
        <f t="shared" si="1"/>
        <v>18963624.34</v>
      </c>
      <c r="Q11" s="13">
        <f>+N11-P11</f>
        <v>838467.99999999627</v>
      </c>
      <c r="R11" s="14">
        <f>+Q11/P11</f>
        <v>4.4214543853382214E-2</v>
      </c>
    </row>
    <row r="12" spans="1:18" ht="15" x14ac:dyDescent="0.3">
      <c r="A12" s="15" t="s">
        <v>166</v>
      </c>
      <c r="B12" s="16">
        <f>B13+B16+B17-B18-B19-B20</f>
        <v>1426477.8899999997</v>
      </c>
      <c r="C12" s="16">
        <f t="shared" ref="C12:D12" si="2">C13+C16+C17-C18-C19-C20</f>
        <v>1316205.83</v>
      </c>
      <c r="D12" s="16">
        <f t="shared" si="2"/>
        <v>1655456.77</v>
      </c>
      <c r="E12" s="16">
        <f t="shared" ref="E12" si="3">E13+E16+E17-E18-E19-E20</f>
        <v>1348097.35</v>
      </c>
      <c r="F12" s="16">
        <f t="shared" ref="F12" si="4">F13+F16+F17-F18-F19-F20</f>
        <v>1528456.02</v>
      </c>
      <c r="G12" s="16">
        <f t="shared" ref="G12" si="5">G13+G16+G17-G18-G19-G20</f>
        <v>1481867.7999999998</v>
      </c>
      <c r="H12" s="16">
        <f t="shared" ref="H12" si="6">H13+H16+H17-H18-H19-H20</f>
        <v>1547727.48</v>
      </c>
      <c r="I12" s="16">
        <f t="shared" ref="I12" si="7">I13+I16+I17-I18-I19-I20</f>
        <v>1423607.12</v>
      </c>
      <c r="J12" s="16">
        <f t="shared" ref="J12" si="8">J13+J16+J17-J18-J19-J20</f>
        <v>1423530.9000000001</v>
      </c>
      <c r="K12" s="16">
        <f t="shared" ref="K12" si="9">K13+K16+K17-K18-K19-K20</f>
        <v>1478436.87</v>
      </c>
      <c r="L12" s="16">
        <f t="shared" ref="L12" si="10">L13+L16+L17-L18-L19-L20</f>
        <v>2272765.54</v>
      </c>
      <c r="M12" s="16">
        <f t="shared" ref="M12" si="11">M13+M16+M17-M18-M19-M20</f>
        <v>2057144.2200000002</v>
      </c>
      <c r="N12" s="16">
        <f t="shared" ref="N12" si="12">N13+N16+N17-N18-N19-N20</f>
        <v>18959773.789999995</v>
      </c>
      <c r="O12" s="16">
        <f t="shared" ref="O12" si="13">O13+O16+O17-O18-O19-O20</f>
        <v>18963624.34</v>
      </c>
      <c r="P12" s="16">
        <f t="shared" ref="P12" si="14">P13+P16+P17-P18-P19-P20</f>
        <v>18963624.34</v>
      </c>
      <c r="Q12" s="16">
        <f>+N12-P12</f>
        <v>-3850.5500000044703</v>
      </c>
      <c r="R12" s="17">
        <f>+Q12/P12</f>
        <v>-2.0304926584537429E-4</v>
      </c>
    </row>
    <row r="13" spans="1:18" ht="15" x14ac:dyDescent="0.3">
      <c r="A13" s="18" t="s">
        <v>165</v>
      </c>
      <c r="B13" s="16">
        <f>+B14+B15</f>
        <v>1225376.0799999998</v>
      </c>
      <c r="C13" s="16">
        <f t="shared" ref="C13:D13" si="15">+C14+C15</f>
        <v>1188765.7</v>
      </c>
      <c r="D13" s="16">
        <f t="shared" si="15"/>
        <v>1467865.79</v>
      </c>
      <c r="E13" s="16">
        <f t="shared" ref="E13" si="16">+E14+E15</f>
        <v>1178959.0900000001</v>
      </c>
      <c r="F13" s="16">
        <f t="shared" ref="F13" si="17">+F14+F15</f>
        <v>1373625.68</v>
      </c>
      <c r="G13" s="16">
        <f t="shared" ref="G13" si="18">+G14+G15</f>
        <v>1258111.22</v>
      </c>
      <c r="H13" s="16">
        <f t="shared" ref="H13" si="19">+H14+H15</f>
        <v>1354874.62</v>
      </c>
      <c r="I13" s="16">
        <f t="shared" ref="I13" si="20">+I14+I15</f>
        <v>1296882.8</v>
      </c>
      <c r="J13" s="16">
        <f t="shared" ref="J13" si="21">+J14+J15</f>
        <v>1217482.73</v>
      </c>
      <c r="K13" s="16">
        <f t="shared" ref="K13" si="22">+K14+K15</f>
        <v>1334919.98</v>
      </c>
      <c r="L13" s="16">
        <f t="shared" ref="L13" si="23">+L14+L15</f>
        <v>2107266.63</v>
      </c>
      <c r="M13" s="16">
        <f t="shared" ref="M13" si="24">+M14+M15</f>
        <v>1915346.32</v>
      </c>
      <c r="N13" s="16">
        <f t="shared" ref="N13" si="25">+N14+N15</f>
        <v>16919476.639999997</v>
      </c>
      <c r="O13" s="16">
        <f t="shared" ref="O13" si="26">+O14+O15</f>
        <v>15546653.34</v>
      </c>
      <c r="P13" s="16">
        <f t="shared" ref="P13" si="27">+P14+P15</f>
        <v>15546653.34</v>
      </c>
      <c r="Q13" s="16">
        <f>+N13-P13</f>
        <v>1372823.299999997</v>
      </c>
      <c r="R13" s="17">
        <f>+Q13/P13</f>
        <v>8.8303461200093691E-2</v>
      </c>
    </row>
    <row r="14" spans="1:18" x14ac:dyDescent="0.3">
      <c r="A14" s="103" t="s">
        <v>22</v>
      </c>
      <c r="B14" s="19">
        <v>1148894.43</v>
      </c>
      <c r="C14" s="19">
        <v>1021860.21</v>
      </c>
      <c r="D14" s="19">
        <v>1396496.55</v>
      </c>
      <c r="E14" s="19">
        <v>1073702.24</v>
      </c>
      <c r="F14" s="19">
        <v>1287696.47</v>
      </c>
      <c r="G14" s="19">
        <v>1181044.73</v>
      </c>
      <c r="H14" s="19">
        <v>1261539.83</v>
      </c>
      <c r="I14" s="19">
        <v>1224935.3700000001</v>
      </c>
      <c r="J14" s="19">
        <v>1127681.74</v>
      </c>
      <c r="K14" s="19">
        <v>1248175.03</v>
      </c>
      <c r="L14" s="19">
        <v>1935418.18</v>
      </c>
      <c r="M14" s="19">
        <v>1880900.16</v>
      </c>
      <c r="N14" s="19">
        <f>SUM(B14:M14)</f>
        <v>15788344.939999998</v>
      </c>
      <c r="O14" s="19">
        <v>14062160.34</v>
      </c>
      <c r="P14" s="19">
        <f>+O14/12*$R$23</f>
        <v>14062160.34</v>
      </c>
      <c r="Q14" s="19">
        <f t="shared" ref="Q14:Q22" si="28">+N14-P14</f>
        <v>1726184.5999999978</v>
      </c>
      <c r="R14" s="21">
        <f t="shared" ref="R14:R39" si="29">+Q14/P14</f>
        <v>0.12275386983675922</v>
      </c>
    </row>
    <row r="15" spans="1:18" x14ac:dyDescent="0.3">
      <c r="A15" s="103" t="s">
        <v>167</v>
      </c>
      <c r="B15" s="19">
        <v>76481.649999999994</v>
      </c>
      <c r="C15" s="19">
        <v>166905.49</v>
      </c>
      <c r="D15" s="19">
        <v>71369.240000000005</v>
      </c>
      <c r="E15" s="19">
        <v>105256.85</v>
      </c>
      <c r="F15" s="19">
        <v>85929.21</v>
      </c>
      <c r="G15" s="19">
        <v>77066.490000000005</v>
      </c>
      <c r="H15" s="19">
        <v>93334.790000000037</v>
      </c>
      <c r="I15" s="19">
        <v>71947.429999999993</v>
      </c>
      <c r="J15" s="19">
        <v>89800.99</v>
      </c>
      <c r="K15" s="19">
        <v>86744.95</v>
      </c>
      <c r="L15" s="19">
        <v>171848.45</v>
      </c>
      <c r="M15" s="19">
        <v>34446.160000000149</v>
      </c>
      <c r="N15" s="19">
        <f t="shared" ref="N15:N22" si="30">SUM(B15:M15)</f>
        <v>1131131.7000000002</v>
      </c>
      <c r="O15" s="19">
        <v>1484493</v>
      </c>
      <c r="P15" s="19">
        <f>+O15/12*$R$23</f>
        <v>1484493</v>
      </c>
      <c r="Q15" s="19">
        <f t="shared" si="28"/>
        <v>-353361.29999999981</v>
      </c>
      <c r="R15" s="21">
        <f t="shared" si="29"/>
        <v>-0.23803500589089999</v>
      </c>
    </row>
    <row r="16" spans="1:18" s="119" customFormat="1" ht="15" x14ac:dyDescent="0.3">
      <c r="A16" s="128" t="s">
        <v>168</v>
      </c>
      <c r="B16" s="19">
        <v>8795.4</v>
      </c>
      <c r="C16" s="19">
        <v>8417.33</v>
      </c>
      <c r="D16" s="19">
        <v>8610.19</v>
      </c>
      <c r="E16" s="19">
        <v>7077.96</v>
      </c>
      <c r="F16" s="19">
        <v>4990.7299999999996</v>
      </c>
      <c r="G16" s="19">
        <v>3938.16</v>
      </c>
      <c r="H16" s="19">
        <v>2878.19</v>
      </c>
      <c r="I16" s="19">
        <v>3485.09</v>
      </c>
      <c r="J16" s="19">
        <v>2266.35</v>
      </c>
      <c r="K16" s="19">
        <v>2499.27</v>
      </c>
      <c r="L16" s="19">
        <v>1099.8699999999999</v>
      </c>
      <c r="M16" s="19">
        <v>2472.77</v>
      </c>
      <c r="N16" s="19">
        <f t="shared" si="30"/>
        <v>56531.31</v>
      </c>
      <c r="O16" s="19">
        <v>188354</v>
      </c>
      <c r="P16" s="19">
        <f t="shared" ref="P16:P22" si="31">+O16/12*$R$23</f>
        <v>188354</v>
      </c>
      <c r="Q16" s="19">
        <f t="shared" si="28"/>
        <v>-131822.69</v>
      </c>
      <c r="R16" s="21">
        <f t="shared" si="29"/>
        <v>-0.69986668719538747</v>
      </c>
    </row>
    <row r="17" spans="1:18" s="119" customFormat="1" ht="15" x14ac:dyDescent="0.3">
      <c r="A17" s="128" t="s">
        <v>171</v>
      </c>
      <c r="B17" s="19">
        <v>192306.41</v>
      </c>
      <c r="C17" s="19">
        <v>119022.8</v>
      </c>
      <c r="D17" s="19">
        <v>178980.79</v>
      </c>
      <c r="E17" s="19">
        <v>162060.29999999999</v>
      </c>
      <c r="F17" s="19">
        <v>149839.60999999999</v>
      </c>
      <c r="G17" s="19">
        <v>219818.42</v>
      </c>
      <c r="H17" s="19">
        <v>189974.67</v>
      </c>
      <c r="I17" s="19">
        <v>123239.23</v>
      </c>
      <c r="J17" s="19">
        <v>203781.82</v>
      </c>
      <c r="K17" s="19">
        <v>141017.62</v>
      </c>
      <c r="L17" s="19">
        <v>164399.04000000001</v>
      </c>
      <c r="M17" s="19">
        <v>139325.13</v>
      </c>
      <c r="N17" s="19">
        <f t="shared" si="30"/>
        <v>1983765.8399999999</v>
      </c>
      <c r="O17" s="19">
        <v>3228617</v>
      </c>
      <c r="P17" s="19">
        <f t="shared" si="31"/>
        <v>3228617</v>
      </c>
      <c r="Q17" s="19">
        <f t="shared" si="28"/>
        <v>-1244851.1600000001</v>
      </c>
      <c r="R17" s="21">
        <f t="shared" si="29"/>
        <v>-0.38556792583325933</v>
      </c>
    </row>
    <row r="18" spans="1:18" x14ac:dyDescent="0.3">
      <c r="A18" s="104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f t="shared" si="30"/>
        <v>0</v>
      </c>
      <c r="O18" s="22">
        <v>0</v>
      </c>
      <c r="P18" s="19">
        <f t="shared" si="31"/>
        <v>0</v>
      </c>
      <c r="Q18" s="19">
        <f t="shared" si="28"/>
        <v>0</v>
      </c>
      <c r="R18" s="21"/>
    </row>
    <row r="19" spans="1:18" x14ac:dyDescent="0.3">
      <c r="A19" s="104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f t="shared" si="30"/>
        <v>0</v>
      </c>
      <c r="O19" s="22">
        <v>0</v>
      </c>
      <c r="P19" s="19">
        <f t="shared" si="31"/>
        <v>0</v>
      </c>
      <c r="Q19" s="19">
        <f t="shared" si="28"/>
        <v>0</v>
      </c>
      <c r="R19" s="21"/>
    </row>
    <row r="20" spans="1:18" x14ac:dyDescent="0.3">
      <c r="A20" s="104" t="s">
        <v>170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f t="shared" si="30"/>
        <v>0</v>
      </c>
      <c r="O20" s="22">
        <v>0</v>
      </c>
      <c r="P20" s="19">
        <f t="shared" si="31"/>
        <v>0</v>
      </c>
      <c r="Q20" s="19">
        <f t="shared" si="28"/>
        <v>0</v>
      </c>
      <c r="R20" s="21"/>
    </row>
    <row r="21" spans="1:18" s="119" customFormat="1" x14ac:dyDescent="0.3">
      <c r="A21" s="23" t="s">
        <v>169</v>
      </c>
      <c r="B21" s="22">
        <v>0</v>
      </c>
      <c r="C21" s="22">
        <v>456273.19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386045.36</v>
      </c>
      <c r="L21" s="22">
        <v>0</v>
      </c>
      <c r="M21" s="22">
        <v>0</v>
      </c>
      <c r="N21" s="22">
        <f t="shared" si="30"/>
        <v>842318.55</v>
      </c>
      <c r="O21" s="22">
        <v>0</v>
      </c>
      <c r="P21" s="19">
        <f t="shared" si="31"/>
        <v>0</v>
      </c>
      <c r="Q21" s="19">
        <f t="shared" si="28"/>
        <v>842318.55</v>
      </c>
      <c r="R21" s="127"/>
    </row>
    <row r="22" spans="1:18" x14ac:dyDescent="0.3">
      <c r="A22" s="23" t="s">
        <v>172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f t="shared" si="30"/>
        <v>0</v>
      </c>
      <c r="O22" s="129">
        <v>0</v>
      </c>
      <c r="P22" s="129">
        <f t="shared" si="31"/>
        <v>0</v>
      </c>
      <c r="Q22" s="129">
        <f t="shared" si="28"/>
        <v>0</v>
      </c>
      <c r="R22" s="24"/>
    </row>
    <row r="23" spans="1:18" x14ac:dyDescent="0.3">
      <c r="A23" s="23"/>
      <c r="B23" s="19"/>
      <c r="C23" s="19"/>
      <c r="D23" s="19"/>
      <c r="E23" s="19"/>
      <c r="F23" s="19"/>
      <c r="G23" s="19"/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25">
        <f>COUNTA(B14:M14)</f>
        <v>12</v>
      </c>
    </row>
    <row r="24" spans="1:18" ht="15.6" x14ac:dyDescent="0.3">
      <c r="A24" s="26" t="s">
        <v>25</v>
      </c>
      <c r="B24" s="27">
        <f>+B25+B38+B39</f>
        <v>1695186.78</v>
      </c>
      <c r="C24" s="27">
        <f>+C25+C38+C39</f>
        <v>1605597.5</v>
      </c>
      <c r="D24" s="27">
        <f t="shared" ref="D24:M24" si="32">+D25+D38+D39</f>
        <v>2569463.71</v>
      </c>
      <c r="E24" s="27">
        <f t="shared" si="32"/>
        <v>1695519.4499999997</v>
      </c>
      <c r="F24" s="27">
        <f t="shared" si="32"/>
        <v>2010442.1400000001</v>
      </c>
      <c r="G24" s="27">
        <f t="shared" si="32"/>
        <v>1220232.6299999999</v>
      </c>
      <c r="H24" s="27">
        <f t="shared" si="32"/>
        <v>2046446.3400000003</v>
      </c>
      <c r="I24" s="27">
        <f t="shared" si="32"/>
        <v>1924197.49</v>
      </c>
      <c r="J24" s="27">
        <f t="shared" si="32"/>
        <v>1427092.3399999999</v>
      </c>
      <c r="K24" s="27">
        <f t="shared" si="32"/>
        <v>2263304.56</v>
      </c>
      <c r="L24" s="27">
        <f t="shared" si="32"/>
        <v>1906872.57</v>
      </c>
      <c r="M24" s="27">
        <f t="shared" si="32"/>
        <v>2342582.29</v>
      </c>
      <c r="N24" s="27">
        <f>+N25+N38+N39</f>
        <v>22706937.800000004</v>
      </c>
      <c r="O24" s="27">
        <f>+O25+O38+O39</f>
        <v>18963624.340000004</v>
      </c>
      <c r="P24" s="27">
        <f>+P25+P38+P39</f>
        <v>18963624.340000004</v>
      </c>
      <c r="Q24" s="27">
        <f>+N24-P24</f>
        <v>3743313.4600000009</v>
      </c>
      <c r="R24" s="28">
        <f t="shared" ref="R24:R29" si="33">+Q24/P24</f>
        <v>0.19739441115716597</v>
      </c>
    </row>
    <row r="25" spans="1:18" ht="15" x14ac:dyDescent="0.3">
      <c r="A25" s="15" t="s">
        <v>174</v>
      </c>
      <c r="B25" s="29">
        <f>+B26+B27+B28+B32+B35</f>
        <v>1695186.78</v>
      </c>
      <c r="C25" s="29">
        <f>+C26+C27+C28+C32+C35</f>
        <v>1395097.5</v>
      </c>
      <c r="D25" s="29">
        <f t="shared" ref="D25:N25" si="34">+D26+D27+D28+D32+D35</f>
        <v>1937478.1199999999</v>
      </c>
      <c r="E25" s="29">
        <f t="shared" si="34"/>
        <v>1671919.4499999997</v>
      </c>
      <c r="F25" s="29">
        <f t="shared" si="34"/>
        <v>1694700.8800000001</v>
      </c>
      <c r="G25" s="29">
        <f t="shared" si="34"/>
        <v>1220232.6299999999</v>
      </c>
      <c r="H25" s="29">
        <f t="shared" si="34"/>
        <v>1897954.2300000002</v>
      </c>
      <c r="I25" s="29">
        <f t="shared" si="34"/>
        <v>1478907.05</v>
      </c>
      <c r="J25" s="29">
        <f t="shared" si="34"/>
        <v>1372998.43</v>
      </c>
      <c r="K25" s="29">
        <f t="shared" si="34"/>
        <v>1882301.4300000002</v>
      </c>
      <c r="L25" s="29">
        <f t="shared" si="34"/>
        <v>1850214.29</v>
      </c>
      <c r="M25" s="29">
        <f t="shared" si="34"/>
        <v>1630728.18</v>
      </c>
      <c r="N25" s="29">
        <f t="shared" si="34"/>
        <v>19727718.970000003</v>
      </c>
      <c r="O25" s="29">
        <f>+O26+O27+O28+O32</f>
        <v>16510477.340000002</v>
      </c>
      <c r="P25" s="29">
        <f>+P26+P27+P28+P32</f>
        <v>16510477.340000002</v>
      </c>
      <c r="Q25" s="29">
        <f>+N25-P25</f>
        <v>3217241.6300000008</v>
      </c>
      <c r="R25" s="17">
        <f t="shared" si="33"/>
        <v>0.19486060661647717</v>
      </c>
    </row>
    <row r="26" spans="1:18" ht="15" x14ac:dyDescent="0.3">
      <c r="A26" s="106" t="s">
        <v>26</v>
      </c>
      <c r="B26" s="19">
        <v>462000.52</v>
      </c>
      <c r="C26" s="19">
        <v>483425.88</v>
      </c>
      <c r="D26" s="19">
        <v>794785.83</v>
      </c>
      <c r="E26" s="19">
        <v>469745.56</v>
      </c>
      <c r="F26" s="19">
        <v>559631.07999999996</v>
      </c>
      <c r="G26" s="19">
        <v>458330.88</v>
      </c>
      <c r="H26" s="20">
        <v>570252.66</v>
      </c>
      <c r="I26" s="20">
        <v>592117.27</v>
      </c>
      <c r="J26" s="20">
        <v>451367.54</v>
      </c>
      <c r="K26" s="19">
        <v>672712.57</v>
      </c>
      <c r="L26" s="19">
        <v>744945.15</v>
      </c>
      <c r="M26" s="19">
        <v>497663.93</v>
      </c>
      <c r="N26" s="19">
        <f>SUM(B26:M26)</f>
        <v>6756978.8700000001</v>
      </c>
      <c r="O26" s="19">
        <v>6627684.6500000004</v>
      </c>
      <c r="P26" s="19">
        <f>+O26/12*$R$23</f>
        <v>6627684.6500000004</v>
      </c>
      <c r="Q26" s="19">
        <f>+N26-P26</f>
        <v>129294.21999999974</v>
      </c>
      <c r="R26" s="21">
        <f t="shared" si="33"/>
        <v>1.9508203366314317E-2</v>
      </c>
    </row>
    <row r="27" spans="1:18" x14ac:dyDescent="0.3">
      <c r="A27" s="104" t="s">
        <v>27</v>
      </c>
      <c r="B27" s="19">
        <v>720781.2</v>
      </c>
      <c r="C27" s="19">
        <v>353804.92</v>
      </c>
      <c r="D27" s="19">
        <v>435613.87</v>
      </c>
      <c r="E27" s="19">
        <v>396905.29</v>
      </c>
      <c r="F27" s="19">
        <v>310382.19</v>
      </c>
      <c r="G27" s="19">
        <v>174076.31</v>
      </c>
      <c r="H27" s="20">
        <v>284454.90000000002</v>
      </c>
      <c r="I27" s="20">
        <v>239336.1</v>
      </c>
      <c r="J27" s="20">
        <v>400736.15</v>
      </c>
      <c r="K27" s="19">
        <v>483992.14</v>
      </c>
      <c r="L27" s="19">
        <v>310107.40000000002</v>
      </c>
      <c r="M27" s="19">
        <v>386098.02</v>
      </c>
      <c r="N27" s="19">
        <f>SUM(B27:M27)</f>
        <v>4496288.49</v>
      </c>
      <c r="O27" s="19">
        <v>3417400.06</v>
      </c>
      <c r="P27" s="19">
        <f>+O27/12*$R$23</f>
        <v>3417400.0599999996</v>
      </c>
      <c r="Q27" s="19">
        <f t="shared" ref="Q27:Q29" si="35">+N27-P27</f>
        <v>1078888.4300000006</v>
      </c>
      <c r="R27" s="21">
        <f t="shared" si="33"/>
        <v>0.31570445691395016</v>
      </c>
    </row>
    <row r="28" spans="1:18" x14ac:dyDescent="0.3">
      <c r="A28" s="30" t="s">
        <v>28</v>
      </c>
      <c r="B28" s="16">
        <f>+B29+B30+B31</f>
        <v>358849.84</v>
      </c>
      <c r="C28" s="16">
        <f>+C29+C30+C31</f>
        <v>428371.05</v>
      </c>
      <c r="D28" s="16">
        <f t="shared" ref="D28:M28" si="36">+D29+D30+D31</f>
        <v>483682.44</v>
      </c>
      <c r="E28" s="16">
        <f t="shared" si="36"/>
        <v>606790.06999999995</v>
      </c>
      <c r="F28" s="16">
        <f t="shared" si="36"/>
        <v>674266.21</v>
      </c>
      <c r="G28" s="16">
        <f t="shared" si="36"/>
        <v>434263.33</v>
      </c>
      <c r="H28" s="16">
        <f t="shared" si="36"/>
        <v>900005.77000000014</v>
      </c>
      <c r="I28" s="16">
        <f t="shared" si="36"/>
        <v>510189.17</v>
      </c>
      <c r="J28" s="16">
        <f t="shared" si="36"/>
        <v>363715.39</v>
      </c>
      <c r="K28" s="16">
        <f t="shared" si="36"/>
        <v>579000.35</v>
      </c>
      <c r="L28" s="16">
        <f t="shared" si="36"/>
        <v>610693.77</v>
      </c>
      <c r="M28" s="16">
        <f t="shared" si="36"/>
        <v>571132.27</v>
      </c>
      <c r="N28" s="16">
        <f>+N29+N30+N31</f>
        <v>6520959.6600000001</v>
      </c>
      <c r="O28" s="16">
        <f>+O29+O30+O31</f>
        <v>5011585.66</v>
      </c>
      <c r="P28" s="16">
        <f>+P29+P30+P31</f>
        <v>5011585.66</v>
      </c>
      <c r="Q28" s="16">
        <f t="shared" si="35"/>
        <v>1509374</v>
      </c>
      <c r="R28" s="17">
        <f t="shared" si="33"/>
        <v>0.30117693329021139</v>
      </c>
    </row>
    <row r="29" spans="1:18" x14ac:dyDescent="0.3">
      <c r="A29" s="103" t="s">
        <v>29</v>
      </c>
      <c r="B29" s="19">
        <v>191873.38</v>
      </c>
      <c r="C29" s="19">
        <v>182108.73</v>
      </c>
      <c r="D29" s="19">
        <v>174632.87</v>
      </c>
      <c r="E29" s="19">
        <v>395719.28</v>
      </c>
      <c r="F29" s="19">
        <v>342264.23</v>
      </c>
      <c r="G29" s="19">
        <v>318940.56</v>
      </c>
      <c r="H29" s="20">
        <v>369569.71</v>
      </c>
      <c r="I29" s="20">
        <v>335549.9</v>
      </c>
      <c r="J29" s="20">
        <v>247475.45</v>
      </c>
      <c r="K29" s="19">
        <v>330285.31</v>
      </c>
      <c r="L29" s="19">
        <v>281637.24</v>
      </c>
      <c r="M29" s="19">
        <v>273843.34000000003</v>
      </c>
      <c r="N29" s="19">
        <f>SUM(B29:M29)</f>
        <v>3443900</v>
      </c>
      <c r="O29" s="19">
        <v>3025676.84</v>
      </c>
      <c r="P29" s="19">
        <f>+O29/12*$R$23</f>
        <v>3025676.84</v>
      </c>
      <c r="Q29" s="19">
        <f t="shared" si="35"/>
        <v>418223.16000000015</v>
      </c>
      <c r="R29" s="21">
        <f t="shared" si="33"/>
        <v>0.13822466248576637</v>
      </c>
    </row>
    <row r="30" spans="1:18" x14ac:dyDescent="0.3">
      <c r="A30" s="103" t="s">
        <v>152</v>
      </c>
      <c r="B30" s="19">
        <v>0</v>
      </c>
      <c r="C30" s="19">
        <v>0</v>
      </c>
      <c r="D30" s="19">
        <v>95588.3</v>
      </c>
      <c r="E30" s="19">
        <v>0</v>
      </c>
      <c r="F30" s="19">
        <v>0</v>
      </c>
      <c r="G30" s="19">
        <v>0</v>
      </c>
      <c r="H30" s="20">
        <v>416340.61</v>
      </c>
      <c r="I30" s="20">
        <v>124630.62</v>
      </c>
      <c r="J30" s="20">
        <v>0</v>
      </c>
      <c r="K30" s="19">
        <v>0</v>
      </c>
      <c r="L30" s="19">
        <v>245466.62</v>
      </c>
      <c r="M30" s="19">
        <v>192730.84</v>
      </c>
      <c r="N30" s="19">
        <f t="shared" ref="N30:N35" si="37">SUM(B30:M30)</f>
        <v>1074756.99</v>
      </c>
      <c r="O30" s="19">
        <v>146671.87</v>
      </c>
      <c r="P30" s="19">
        <f>+O30/12*$R$23</f>
        <v>146671.87</v>
      </c>
      <c r="Q30" s="19">
        <f t="shared" ref="Q30:Q33" si="38">+N30-P30</f>
        <v>928085.12</v>
      </c>
      <c r="R30" s="21">
        <f t="shared" ref="R30:R33" si="39">+Q30/P30</f>
        <v>6.3276286039033938</v>
      </c>
    </row>
    <row r="31" spans="1:18" x14ac:dyDescent="0.3">
      <c r="A31" s="103" t="s">
        <v>30</v>
      </c>
      <c r="B31" s="19">
        <f>(358849.84-B29-B30)</f>
        <v>166976.46000000002</v>
      </c>
      <c r="C31" s="19">
        <f>(428371.05-C29-C30)</f>
        <v>246262.31999999998</v>
      </c>
      <c r="D31" s="19">
        <f>(483682.44-D29-D30)</f>
        <v>213461.27000000002</v>
      </c>
      <c r="E31" s="19">
        <f>(606790.07-E29-E30)</f>
        <v>211070.78999999992</v>
      </c>
      <c r="F31" s="19">
        <f>(674266.21-F29-F30)</f>
        <v>332001.98</v>
      </c>
      <c r="G31" s="19">
        <f>(434263.33-G29-G30)</f>
        <v>115322.77000000002</v>
      </c>
      <c r="H31" s="20">
        <f>(900005.77-H29-H30)</f>
        <v>114095.45000000007</v>
      </c>
      <c r="I31" s="20">
        <f>(510189.17-I29-I30)</f>
        <v>50008.649999999965</v>
      </c>
      <c r="J31" s="20">
        <f>(363715.39-J29-J30)</f>
        <v>116239.94</v>
      </c>
      <c r="K31" s="19">
        <f>(579000.35-K29-K30)</f>
        <v>248715.03999999998</v>
      </c>
      <c r="L31" s="19">
        <f>(610693.77-L29-L30)</f>
        <v>83589.910000000033</v>
      </c>
      <c r="M31" s="19">
        <f>(571132.27-M29-M30)</f>
        <v>104558.09</v>
      </c>
      <c r="N31" s="19">
        <f t="shared" si="37"/>
        <v>2002302.6700000002</v>
      </c>
      <c r="O31" s="19">
        <f>(5011585.66-O29-O30)</f>
        <v>1839236.9500000002</v>
      </c>
      <c r="P31" s="19">
        <f>+O31/12*$R$23</f>
        <v>1839236.9500000002</v>
      </c>
      <c r="Q31" s="19">
        <f t="shared" si="38"/>
        <v>163065.71999999997</v>
      </c>
      <c r="R31" s="21">
        <f t="shared" si="39"/>
        <v>8.8659441079628129E-2</v>
      </c>
    </row>
    <row r="32" spans="1:18" x14ac:dyDescent="0.3">
      <c r="A32" s="104" t="s">
        <v>153</v>
      </c>
      <c r="B32" s="19">
        <f>SUM(B33:B34)</f>
        <v>101790.77</v>
      </c>
      <c r="C32" s="19">
        <f>SUM(C33:C34)</f>
        <v>77726.91</v>
      </c>
      <c r="D32" s="19">
        <f t="shared" ref="D32:N32" si="40">SUM(D33:D34)</f>
        <v>171704.15</v>
      </c>
      <c r="E32" s="19">
        <f t="shared" si="40"/>
        <v>146718.39999999999</v>
      </c>
      <c r="F32" s="19">
        <f t="shared" si="40"/>
        <v>98700.3</v>
      </c>
      <c r="G32" s="19">
        <f t="shared" si="40"/>
        <v>101806.19</v>
      </c>
      <c r="H32" s="20">
        <f t="shared" si="40"/>
        <v>91512.04</v>
      </c>
      <c r="I32" s="20">
        <f t="shared" si="40"/>
        <v>85459.520000000004</v>
      </c>
      <c r="J32" s="20">
        <f t="shared" si="40"/>
        <v>105442.88</v>
      </c>
      <c r="K32" s="19">
        <f t="shared" si="40"/>
        <v>94810.76</v>
      </c>
      <c r="L32" s="19">
        <f t="shared" si="40"/>
        <v>132707.09</v>
      </c>
      <c r="M32" s="19">
        <f t="shared" si="40"/>
        <v>124085</v>
      </c>
      <c r="N32" s="19">
        <f t="shared" si="40"/>
        <v>1332464.01</v>
      </c>
      <c r="O32" s="19">
        <f>SUM(O33:O34)</f>
        <v>1453806.97</v>
      </c>
      <c r="P32" s="19">
        <f>SUM(P33:P34)</f>
        <v>1453806.97</v>
      </c>
      <c r="Q32" s="19">
        <f t="shared" si="38"/>
        <v>-121342.95999999996</v>
      </c>
      <c r="R32" s="31">
        <f t="shared" si="39"/>
        <v>-8.3465661194346841E-2</v>
      </c>
    </row>
    <row r="33" spans="1:19" s="119" customFormat="1" x14ac:dyDescent="0.3">
      <c r="A33" s="104" t="s">
        <v>163</v>
      </c>
      <c r="B33" s="126">
        <v>63810.85</v>
      </c>
      <c r="C33" s="126">
        <v>62398.75</v>
      </c>
      <c r="D33" s="19">
        <v>78780.61</v>
      </c>
      <c r="E33" s="19">
        <v>62701.16</v>
      </c>
      <c r="F33" s="19">
        <v>73023.55</v>
      </c>
      <c r="G33" s="19">
        <v>70695.38</v>
      </c>
      <c r="H33" s="20">
        <v>74999.08</v>
      </c>
      <c r="I33" s="20">
        <v>69136.67</v>
      </c>
      <c r="J33" s="20">
        <v>67211</v>
      </c>
      <c r="K33" s="19">
        <v>70989.649999999994</v>
      </c>
      <c r="L33" s="19">
        <v>109722.61</v>
      </c>
      <c r="M33" s="19">
        <v>101036.43</v>
      </c>
      <c r="N33" s="19">
        <f t="shared" si="37"/>
        <v>904505.74</v>
      </c>
      <c r="O33" s="19">
        <v>777551.34</v>
      </c>
      <c r="P33" s="19">
        <f>+O33/12*$R$23</f>
        <v>777551.34</v>
      </c>
      <c r="Q33" s="19">
        <f t="shared" si="38"/>
        <v>126954.40000000002</v>
      </c>
      <c r="R33" s="31">
        <f t="shared" si="39"/>
        <v>0.1632746205543161</v>
      </c>
    </row>
    <row r="34" spans="1:19" s="119" customFormat="1" x14ac:dyDescent="0.3">
      <c r="A34" s="104" t="s">
        <v>175</v>
      </c>
      <c r="B34" s="126">
        <f>(101790.77-B33)</f>
        <v>37979.920000000006</v>
      </c>
      <c r="C34" s="126">
        <f>(77726.91-C33)</f>
        <v>15328.160000000003</v>
      </c>
      <c r="D34" s="19">
        <f>(171704.15-D33)</f>
        <v>92923.54</v>
      </c>
      <c r="E34" s="19">
        <f>146718.4+(-E33)</f>
        <v>84017.239999999991</v>
      </c>
      <c r="F34" s="19">
        <f>(98700.3-F33)</f>
        <v>25676.75</v>
      </c>
      <c r="G34" s="19">
        <f>(101806.19-G33)</f>
        <v>31110.809999999998</v>
      </c>
      <c r="H34" s="20">
        <f>(91512.04-H33)</f>
        <v>16512.959999999992</v>
      </c>
      <c r="I34" s="20">
        <f>(85459.52-I33)</f>
        <v>16322.850000000006</v>
      </c>
      <c r="J34" s="20">
        <f>(105442.88-J33)</f>
        <v>38231.880000000005</v>
      </c>
      <c r="K34" s="19">
        <f>(94810.76-K33)</f>
        <v>23821.11</v>
      </c>
      <c r="L34" s="19">
        <f>(132707.09-L33)</f>
        <v>22984.479999999996</v>
      </c>
      <c r="M34" s="19">
        <f>(124085-M33)</f>
        <v>23048.570000000007</v>
      </c>
      <c r="N34" s="19">
        <f t="shared" si="37"/>
        <v>427958.26999999996</v>
      </c>
      <c r="O34" s="19">
        <v>676255.63</v>
      </c>
      <c r="P34" s="19">
        <f>+O34/12*$R$23</f>
        <v>676255.63</v>
      </c>
      <c r="Q34" s="19">
        <f t="shared" ref="Q34" si="41">+N34-P34</f>
        <v>-248297.36000000004</v>
      </c>
      <c r="R34" s="31">
        <f t="shared" ref="R34" si="42">+Q34/P34</f>
        <v>-0.36716494323307897</v>
      </c>
    </row>
    <row r="35" spans="1:19" s="119" customFormat="1" x14ac:dyDescent="0.3">
      <c r="A35" s="104" t="s">
        <v>173</v>
      </c>
      <c r="B35" s="126">
        <v>51764.45</v>
      </c>
      <c r="C35" s="126">
        <v>51768.74</v>
      </c>
      <c r="D35" s="19">
        <v>51691.83</v>
      </c>
      <c r="E35" s="19">
        <v>51760.13</v>
      </c>
      <c r="F35" s="19">
        <v>51721.1</v>
      </c>
      <c r="G35" s="19">
        <v>51755.92</v>
      </c>
      <c r="H35" s="20">
        <v>51728.86</v>
      </c>
      <c r="I35" s="20">
        <v>51804.99</v>
      </c>
      <c r="J35" s="20">
        <v>51736.47</v>
      </c>
      <c r="K35" s="19">
        <v>51785.61</v>
      </c>
      <c r="L35" s="19">
        <v>51760.88</v>
      </c>
      <c r="M35" s="19">
        <v>51748.959999999999</v>
      </c>
      <c r="N35" s="19">
        <f t="shared" si="37"/>
        <v>621027.93999999994</v>
      </c>
      <c r="O35" s="19">
        <v>0</v>
      </c>
      <c r="P35" s="19">
        <f>+O35/12*$R$23</f>
        <v>0</v>
      </c>
      <c r="Q35" s="19">
        <v>0</v>
      </c>
      <c r="R35" s="31"/>
    </row>
    <row r="36" spans="1:19" x14ac:dyDescent="0.3">
      <c r="A36" s="120" t="s">
        <v>157</v>
      </c>
      <c r="B36" s="120"/>
      <c r="C36" s="120"/>
      <c r="D36" s="19"/>
      <c r="E36" s="19"/>
      <c r="F36" s="19"/>
      <c r="G36" s="19"/>
      <c r="H36" s="20"/>
      <c r="I36" s="19"/>
      <c r="J36" s="19"/>
      <c r="K36" s="19"/>
      <c r="L36" s="19"/>
      <c r="M36" s="19"/>
      <c r="N36" s="19"/>
      <c r="O36" s="19"/>
      <c r="P36" s="19"/>
      <c r="Q36" s="19"/>
      <c r="R36" s="21"/>
    </row>
    <row r="37" spans="1:19" x14ac:dyDescent="0.3">
      <c r="A37" s="32" t="s">
        <v>31</v>
      </c>
      <c r="B37" s="29">
        <f t="shared" ref="B37:P37" si="43">+B11-B25</f>
        <v>-268708.89000000036</v>
      </c>
      <c r="C37" s="29">
        <f t="shared" si="43"/>
        <v>377381.52</v>
      </c>
      <c r="D37" s="29">
        <f t="shared" si="43"/>
        <v>-282021.34999999986</v>
      </c>
      <c r="E37" s="29">
        <f t="shared" si="43"/>
        <v>-323822.09999999963</v>
      </c>
      <c r="F37" s="29">
        <f t="shared" si="43"/>
        <v>-166244.8600000001</v>
      </c>
      <c r="G37" s="29">
        <f t="shared" si="43"/>
        <v>261635.16999999993</v>
      </c>
      <c r="H37" s="29">
        <f t="shared" si="43"/>
        <v>-350226.75000000023</v>
      </c>
      <c r="I37" s="29">
        <f t="shared" si="43"/>
        <v>-55299.929999999935</v>
      </c>
      <c r="J37" s="29">
        <f t="shared" si="43"/>
        <v>50532.470000000205</v>
      </c>
      <c r="K37" s="29">
        <f t="shared" si="43"/>
        <v>-17819.200000000186</v>
      </c>
      <c r="L37" s="29">
        <f t="shared" si="43"/>
        <v>422551.25</v>
      </c>
      <c r="M37" s="29">
        <f t="shared" si="43"/>
        <v>426416.04000000027</v>
      </c>
      <c r="N37" s="29">
        <f t="shared" si="43"/>
        <v>74373.369999993593</v>
      </c>
      <c r="O37" s="29">
        <f t="shared" si="43"/>
        <v>2453146.9999999981</v>
      </c>
      <c r="P37" s="29">
        <f t="shared" si="43"/>
        <v>2453146.9999999981</v>
      </c>
      <c r="Q37" s="29">
        <f>+N37-P37</f>
        <v>-2378773.6300000045</v>
      </c>
      <c r="R37" s="21">
        <f>+Q37/P37</f>
        <v>-0.96968246501331001</v>
      </c>
    </row>
    <row r="38" spans="1:19" x14ac:dyDescent="0.3">
      <c r="A38" s="105" t="s">
        <v>32</v>
      </c>
      <c r="B38" s="19">
        <v>0</v>
      </c>
      <c r="C38" s="19"/>
      <c r="D38" s="19"/>
      <c r="E38" s="19"/>
      <c r="F38" s="19"/>
      <c r="G38" s="19"/>
      <c r="H38" s="20"/>
      <c r="I38" s="19"/>
      <c r="J38" s="19"/>
      <c r="K38" s="19"/>
      <c r="L38" s="19"/>
      <c r="M38" s="19"/>
      <c r="N38" s="19">
        <f t="shared" ref="N38" si="44">SUM(B38:M38)</f>
        <v>0</v>
      </c>
      <c r="O38" s="19">
        <v>0</v>
      </c>
      <c r="P38" s="19">
        <f t="shared" ref="P38:P39" si="45">+O38/12*$R$23</f>
        <v>0</v>
      </c>
      <c r="Q38" s="19">
        <f>+N38-P38</f>
        <v>0</v>
      </c>
      <c r="R38" s="21"/>
    </row>
    <row r="39" spans="1:19" x14ac:dyDescent="0.3">
      <c r="A39" s="33" t="s">
        <v>33</v>
      </c>
      <c r="B39" s="16">
        <f>B40+B41+B42</f>
        <v>0</v>
      </c>
      <c r="C39" s="16">
        <f t="shared" ref="C39:M39" si="46">+C40+C41+C42</f>
        <v>210500</v>
      </c>
      <c r="D39" s="16">
        <f t="shared" si="46"/>
        <v>631985.59000000008</v>
      </c>
      <c r="E39" s="16">
        <f t="shared" si="46"/>
        <v>23600</v>
      </c>
      <c r="F39" s="16">
        <f t="shared" si="46"/>
        <v>315741.26</v>
      </c>
      <c r="G39" s="16">
        <f t="shared" si="46"/>
        <v>0</v>
      </c>
      <c r="H39" s="16">
        <f t="shared" si="46"/>
        <v>148492.11000000002</v>
      </c>
      <c r="I39" s="16">
        <f t="shared" si="46"/>
        <v>445290.44</v>
      </c>
      <c r="J39" s="16">
        <f t="shared" si="46"/>
        <v>54093.91</v>
      </c>
      <c r="K39" s="16">
        <f t="shared" si="46"/>
        <v>381003.13</v>
      </c>
      <c r="L39" s="16">
        <f t="shared" si="46"/>
        <v>56658.28</v>
      </c>
      <c r="M39" s="16">
        <f t="shared" si="46"/>
        <v>711854.11</v>
      </c>
      <c r="N39" s="16">
        <f t="shared" ref="N39" si="47">+N40+N41+N42</f>
        <v>2979218.83</v>
      </c>
      <c r="O39" s="16">
        <f>SUM(O40:O42)</f>
        <v>2453147</v>
      </c>
      <c r="P39" s="16">
        <f t="shared" si="45"/>
        <v>2453147</v>
      </c>
      <c r="Q39" s="16">
        <f>+N39-P39</f>
        <v>526071.83000000007</v>
      </c>
      <c r="R39" s="17">
        <f t="shared" si="29"/>
        <v>0.2144477399845994</v>
      </c>
      <c r="S39" s="116">
        <v>21</v>
      </c>
    </row>
    <row r="40" spans="1:19" x14ac:dyDescent="0.3">
      <c r="A40" s="103" t="s">
        <v>34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f t="shared" ref="N40:N42" si="48">SUM(B40:M40)</f>
        <v>0</v>
      </c>
      <c r="O40" s="19">
        <v>839121</v>
      </c>
      <c r="P40" s="19"/>
      <c r="Q40" s="19"/>
      <c r="R40" s="21"/>
    </row>
    <row r="41" spans="1:19" x14ac:dyDescent="0.3">
      <c r="A41" s="103" t="s">
        <v>35</v>
      </c>
      <c r="B41" s="19"/>
      <c r="C41" s="19"/>
      <c r="D41" s="19">
        <v>216389</v>
      </c>
      <c r="E41" s="19"/>
      <c r="F41" s="19">
        <v>230741.26</v>
      </c>
      <c r="G41" s="19"/>
      <c r="H41" s="20">
        <v>141720.47</v>
      </c>
      <c r="I41" s="19">
        <v>409090.44</v>
      </c>
      <c r="J41" s="19">
        <v>54093.91</v>
      </c>
      <c r="K41" s="19">
        <v>381003.13</v>
      </c>
      <c r="L41" s="19">
        <v>56658.28</v>
      </c>
      <c r="M41" s="19">
        <v>711854.11</v>
      </c>
      <c r="N41" s="19">
        <f t="shared" si="48"/>
        <v>2201550.6</v>
      </c>
      <c r="O41" s="19">
        <v>0</v>
      </c>
      <c r="P41" s="19"/>
      <c r="Q41" s="19"/>
      <c r="R41" s="21"/>
    </row>
    <row r="42" spans="1:19" x14ac:dyDescent="0.3">
      <c r="A42" s="103" t="s">
        <v>36</v>
      </c>
      <c r="B42" s="19">
        <v>0</v>
      </c>
      <c r="C42" s="19">
        <v>210500</v>
      </c>
      <c r="D42" s="19">
        <v>415596.59</v>
      </c>
      <c r="E42" s="19">
        <v>23600</v>
      </c>
      <c r="F42" s="19">
        <v>85000</v>
      </c>
      <c r="G42" s="19">
        <v>0</v>
      </c>
      <c r="H42" s="20">
        <v>6771.64</v>
      </c>
      <c r="I42" s="20">
        <v>36200</v>
      </c>
      <c r="J42" s="20">
        <v>0</v>
      </c>
      <c r="K42" s="19">
        <v>0</v>
      </c>
      <c r="L42" s="19">
        <v>0</v>
      </c>
      <c r="M42" s="19">
        <v>0</v>
      </c>
      <c r="N42" s="19">
        <f t="shared" si="48"/>
        <v>777668.2300000001</v>
      </c>
      <c r="O42" s="19">
        <v>1614026</v>
      </c>
      <c r="P42" s="19"/>
      <c r="Q42" s="19"/>
      <c r="R42" s="21"/>
    </row>
    <row r="43" spans="1:19" x14ac:dyDescent="0.3">
      <c r="A43" s="34" t="s">
        <v>37</v>
      </c>
      <c r="B43" s="35">
        <f t="shared" ref="B43:M43" si="49">+B37-B38-B39</f>
        <v>-268708.89000000036</v>
      </c>
      <c r="C43" s="35">
        <f t="shared" si="49"/>
        <v>166881.52000000002</v>
      </c>
      <c r="D43" s="35">
        <f t="shared" si="49"/>
        <v>-914006.94</v>
      </c>
      <c r="E43" s="35">
        <f t="shared" si="49"/>
        <v>-347422.09999999963</v>
      </c>
      <c r="F43" s="35">
        <f t="shared" si="49"/>
        <v>-481986.12000000011</v>
      </c>
      <c r="G43" s="35">
        <f t="shared" si="49"/>
        <v>261635.16999999993</v>
      </c>
      <c r="H43" s="35">
        <f t="shared" si="49"/>
        <v>-498718.86000000022</v>
      </c>
      <c r="I43" s="35">
        <f t="shared" si="49"/>
        <v>-500590.36999999994</v>
      </c>
      <c r="J43" s="35">
        <f t="shared" si="49"/>
        <v>-3561.4399999997986</v>
      </c>
      <c r="K43" s="35">
        <f t="shared" si="49"/>
        <v>-398822.33000000019</v>
      </c>
      <c r="L43" s="35">
        <f t="shared" si="49"/>
        <v>365892.97</v>
      </c>
      <c r="M43" s="35">
        <f t="shared" si="49"/>
        <v>-285438.06999999972</v>
      </c>
      <c r="N43" s="35">
        <f>+N37-N38-N39</f>
        <v>-2904845.4600000065</v>
      </c>
      <c r="O43" s="35"/>
      <c r="P43" s="35">
        <f t="shared" ref="P43" si="50">+P37-P38-P39</f>
        <v>0</v>
      </c>
      <c r="Q43" s="35">
        <f t="shared" ref="Q43" si="51">+N43-P43</f>
        <v>-2904845.4600000065</v>
      </c>
      <c r="R43" s="31">
        <v>0</v>
      </c>
    </row>
    <row r="44" spans="1:19" x14ac:dyDescent="0.3">
      <c r="A44" s="105" t="s">
        <v>38</v>
      </c>
      <c r="B44" s="19"/>
      <c r="C44" s="19"/>
      <c r="D44" s="19">
        <v>0</v>
      </c>
      <c r="E44" s="19">
        <v>79889.89</v>
      </c>
      <c r="F44" s="19">
        <v>124010.1</v>
      </c>
      <c r="G44" s="19"/>
      <c r="H44" s="19">
        <v>450756.48</v>
      </c>
      <c r="I44" s="19">
        <v>0</v>
      </c>
      <c r="J44" s="19">
        <v>260936.68</v>
      </c>
      <c r="K44" s="19">
        <v>0</v>
      </c>
      <c r="L44" s="19">
        <v>1483159.03</v>
      </c>
      <c r="M44" s="19">
        <v>0</v>
      </c>
      <c r="N44" s="19">
        <f t="shared" ref="N44:Q44" si="52">SUM(B44:M44)</f>
        <v>2398752.1799999997</v>
      </c>
      <c r="O44" s="19"/>
      <c r="P44" s="19">
        <f t="shared" si="52"/>
        <v>4797504.3599999994</v>
      </c>
      <c r="Q44" s="19">
        <f t="shared" si="52"/>
        <v>9595008.7199999988</v>
      </c>
      <c r="R44" s="21">
        <v>0</v>
      </c>
    </row>
    <row r="45" spans="1:19" x14ac:dyDescent="0.3">
      <c r="A45" s="36" t="s">
        <v>39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1"/>
    </row>
    <row r="46" spans="1:19" x14ac:dyDescent="0.3">
      <c r="A46" s="23" t="s">
        <v>40</v>
      </c>
      <c r="B46" s="20">
        <f>SUM(B47:B49)</f>
        <v>3956275.6</v>
      </c>
      <c r="C46" s="20">
        <f t="shared" ref="C46:M46" si="53">SUM(C47:C49)</f>
        <v>4143249.4699999997</v>
      </c>
      <c r="D46" s="20">
        <f t="shared" si="53"/>
        <v>3228452.62</v>
      </c>
      <c r="E46" s="20">
        <f t="shared" si="53"/>
        <v>2613052.66</v>
      </c>
      <c r="F46" s="20">
        <f t="shared" si="53"/>
        <v>2054990.5</v>
      </c>
      <c r="G46" s="20">
        <f t="shared" si="53"/>
        <v>1596887.4300000002</v>
      </c>
      <c r="H46" s="20">
        <f t="shared" si="53"/>
        <v>1652260.13</v>
      </c>
      <c r="I46" s="20">
        <f t="shared" si="53"/>
        <v>1066065.9099999999</v>
      </c>
      <c r="J46" s="20">
        <f t="shared" si="53"/>
        <v>1138994.96</v>
      </c>
      <c r="K46" s="19">
        <f t="shared" si="53"/>
        <v>939909.03</v>
      </c>
      <c r="L46" s="20">
        <f t="shared" si="53"/>
        <v>1442156.25</v>
      </c>
      <c r="M46" s="20">
        <f t="shared" si="53"/>
        <v>1045169.72</v>
      </c>
      <c r="N46" s="20"/>
      <c r="O46" s="20"/>
      <c r="P46" s="19"/>
      <c r="Q46" s="19"/>
      <c r="R46" s="21"/>
    </row>
    <row r="47" spans="1:19" x14ac:dyDescent="0.3">
      <c r="A47" s="103" t="s">
        <v>41</v>
      </c>
      <c r="B47" s="19">
        <v>553724.62</v>
      </c>
      <c r="C47" s="19">
        <v>703281.16</v>
      </c>
      <c r="D47" s="19">
        <v>162335.63</v>
      </c>
      <c r="E47" s="19">
        <v>202890.79</v>
      </c>
      <c r="F47" s="19">
        <v>240756.93</v>
      </c>
      <c r="G47" s="19">
        <v>160901.17000000001</v>
      </c>
      <c r="H47" s="19">
        <v>297403.28999999998</v>
      </c>
      <c r="I47" s="19">
        <v>197115.18</v>
      </c>
      <c r="J47" s="19">
        <v>271231.88</v>
      </c>
      <c r="K47" s="19">
        <v>615412.42000000004</v>
      </c>
      <c r="L47" s="19">
        <v>235056.14</v>
      </c>
      <c r="M47" s="19">
        <v>270239.35999999999</v>
      </c>
      <c r="N47" s="19"/>
      <c r="O47" s="19"/>
      <c r="P47" s="19"/>
      <c r="Q47" s="19"/>
      <c r="R47" s="21"/>
    </row>
    <row r="48" spans="1:19" x14ac:dyDescent="0.3">
      <c r="A48" s="103" t="s">
        <v>42</v>
      </c>
      <c r="B48" s="19">
        <v>74000.36</v>
      </c>
      <c r="C48" s="19">
        <v>126322.72</v>
      </c>
      <c r="D48" s="19">
        <v>178645.08</v>
      </c>
      <c r="E48" s="19">
        <v>230787.44</v>
      </c>
      <c r="F48" s="19">
        <v>283109.8</v>
      </c>
      <c r="G48" s="19">
        <v>335432.15999999997</v>
      </c>
      <c r="H48" s="19">
        <v>392627.36</v>
      </c>
      <c r="I48" s="19">
        <v>449822.57</v>
      </c>
      <c r="J48" s="19">
        <v>449822.57</v>
      </c>
      <c r="K48" s="19">
        <v>324470.96999999997</v>
      </c>
      <c r="L48" s="19">
        <v>507017.77</v>
      </c>
      <c r="M48" s="19">
        <v>32270.86</v>
      </c>
      <c r="N48" s="19"/>
      <c r="O48" s="19"/>
      <c r="P48" s="19"/>
      <c r="Q48" s="19"/>
      <c r="R48" s="21"/>
    </row>
    <row r="49" spans="1:19" x14ac:dyDescent="0.3">
      <c r="A49" s="103" t="s">
        <v>43</v>
      </c>
      <c r="B49" s="19">
        <v>3328550.62</v>
      </c>
      <c r="C49" s="19">
        <v>3313645.59</v>
      </c>
      <c r="D49" s="19">
        <v>2887471.91</v>
      </c>
      <c r="E49" s="19">
        <v>2179374.4300000002</v>
      </c>
      <c r="F49" s="19">
        <v>1531123.77</v>
      </c>
      <c r="G49" s="19">
        <v>1100554.1000000001</v>
      </c>
      <c r="H49" s="19">
        <v>962229.4800000001</v>
      </c>
      <c r="I49" s="19">
        <v>419128.16</v>
      </c>
      <c r="J49" s="19">
        <v>417940.51</v>
      </c>
      <c r="K49" s="19">
        <v>25.64</v>
      </c>
      <c r="L49" s="19">
        <v>700082.34</v>
      </c>
      <c r="M49" s="19">
        <v>742659.5</v>
      </c>
      <c r="N49" s="19"/>
      <c r="O49" s="19"/>
      <c r="P49" s="19"/>
      <c r="Q49" s="19"/>
      <c r="R49" s="21"/>
    </row>
    <row r="50" spans="1:19" x14ac:dyDescent="0.3">
      <c r="A50" s="105" t="s">
        <v>44</v>
      </c>
      <c r="B50" s="19">
        <v>7228883.2999999998</v>
      </c>
      <c r="C50" s="19">
        <v>7396925.5800000001</v>
      </c>
      <c r="D50" s="19">
        <v>6728245.5499999998</v>
      </c>
      <c r="E50" s="19">
        <v>6462987.5099999998</v>
      </c>
      <c r="F50" s="19">
        <v>6147557.3700000001</v>
      </c>
      <c r="G50" s="19">
        <v>6069440.46</v>
      </c>
      <c r="H50" s="19">
        <v>5877999.3499999996</v>
      </c>
      <c r="I50" s="19">
        <v>5392943.79</v>
      </c>
      <c r="J50" s="19">
        <v>5496579.6699999999</v>
      </c>
      <c r="K50" s="19">
        <v>5136013.34</v>
      </c>
      <c r="L50" s="19">
        <v>5888066.79</v>
      </c>
      <c r="M50" s="19">
        <v>5273560.29</v>
      </c>
      <c r="N50" s="19"/>
      <c r="O50" s="19"/>
      <c r="P50" s="19"/>
      <c r="Q50" s="19"/>
      <c r="R50" s="21"/>
    </row>
    <row r="51" spans="1:19" x14ac:dyDescent="0.3">
      <c r="A51" s="105" t="s">
        <v>45</v>
      </c>
      <c r="B51" s="19">
        <v>90262653.799999997</v>
      </c>
      <c r="C51" s="19">
        <v>90589447.019999996</v>
      </c>
      <c r="D51" s="19">
        <v>90501003.519999996</v>
      </c>
      <c r="E51" s="19">
        <v>90287486.310000002</v>
      </c>
      <c r="F51" s="19">
        <v>90360058.469999999</v>
      </c>
      <c r="G51" s="19">
        <v>91762403.840000004</v>
      </c>
      <c r="H51" s="19">
        <v>92118462.260000005</v>
      </c>
      <c r="I51" s="19">
        <v>92026948.079999998</v>
      </c>
      <c r="J51" s="19">
        <v>92393865.489999995</v>
      </c>
      <c r="K51" s="19">
        <v>92379443.230000004</v>
      </c>
      <c r="L51" s="19">
        <v>94619564.989999995</v>
      </c>
      <c r="M51" s="19">
        <v>94994077.829999998</v>
      </c>
      <c r="N51" s="19"/>
      <c r="O51" s="19"/>
      <c r="P51" s="19"/>
      <c r="Q51" s="19"/>
      <c r="R51" s="21"/>
    </row>
    <row r="52" spans="1:19" x14ac:dyDescent="0.3">
      <c r="A52" s="105" t="s">
        <v>46</v>
      </c>
      <c r="B52" s="19">
        <v>495961.54</v>
      </c>
      <c r="C52" s="19">
        <v>445373.24</v>
      </c>
      <c r="D52" s="19">
        <v>638951.09</v>
      </c>
      <c r="E52" s="19">
        <v>656583.71</v>
      </c>
      <c r="F52" s="19">
        <v>751549.01</v>
      </c>
      <c r="G52" s="19">
        <v>733216.08</v>
      </c>
      <c r="H52" s="19">
        <v>916623.73</v>
      </c>
      <c r="I52" s="19">
        <v>872729.48</v>
      </c>
      <c r="J52" s="19">
        <v>881627.87</v>
      </c>
      <c r="K52" s="19">
        <v>885024.81</v>
      </c>
      <c r="L52" s="19">
        <v>979250.78</v>
      </c>
      <c r="M52" s="19">
        <v>923747.58</v>
      </c>
      <c r="N52" s="19"/>
      <c r="O52" s="19"/>
      <c r="P52" s="19"/>
      <c r="Q52" s="19"/>
      <c r="R52" s="21"/>
    </row>
    <row r="53" spans="1:19" x14ac:dyDescent="0.3">
      <c r="A53" s="105" t="s">
        <v>47</v>
      </c>
      <c r="B53" s="19">
        <v>495961.54</v>
      </c>
      <c r="C53" s="19">
        <v>445373.25</v>
      </c>
      <c r="D53" s="19">
        <v>638951.09</v>
      </c>
      <c r="E53" s="19">
        <v>656583.71</v>
      </c>
      <c r="F53" s="19">
        <v>751549.01</v>
      </c>
      <c r="G53" s="19">
        <v>733216.08</v>
      </c>
      <c r="H53" s="19">
        <v>916623.73</v>
      </c>
      <c r="I53" s="19">
        <v>872729.48</v>
      </c>
      <c r="J53" s="19">
        <v>881627.87</v>
      </c>
      <c r="K53" s="19">
        <v>885024.81</v>
      </c>
      <c r="L53" s="19">
        <v>979250.78</v>
      </c>
      <c r="M53" s="19">
        <v>923747.58</v>
      </c>
      <c r="N53" s="19"/>
      <c r="O53" s="19"/>
      <c r="P53" s="19"/>
      <c r="Q53" s="19"/>
      <c r="R53" s="21"/>
    </row>
    <row r="54" spans="1:19" x14ac:dyDescent="0.3">
      <c r="A54" s="105" t="s">
        <v>48</v>
      </c>
      <c r="B54" s="19">
        <v>14978.97</v>
      </c>
      <c r="C54" s="19">
        <v>28564.51</v>
      </c>
      <c r="D54" s="19">
        <v>49114.09</v>
      </c>
      <c r="E54" s="19">
        <v>15305.96</v>
      </c>
      <c r="F54" s="19">
        <v>33265.800000000003</v>
      </c>
      <c r="G54" s="19">
        <v>50247.38</v>
      </c>
      <c r="H54" s="19">
        <v>67774.720000000001</v>
      </c>
      <c r="I54" s="19">
        <v>47794.79</v>
      </c>
      <c r="J54" s="19">
        <v>90707.3</v>
      </c>
      <c r="K54" s="19">
        <v>140531.69</v>
      </c>
      <c r="L54" s="19">
        <v>89431.32</v>
      </c>
      <c r="M54" s="19">
        <v>356519.88</v>
      </c>
      <c r="N54" s="19"/>
      <c r="O54" s="19"/>
      <c r="P54" s="19"/>
      <c r="Q54" s="19"/>
      <c r="R54" s="21"/>
    </row>
    <row r="55" spans="1:19" x14ac:dyDescent="0.3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19"/>
      <c r="L55" s="38"/>
      <c r="M55" s="38"/>
      <c r="N55" s="38"/>
      <c r="O55" s="38"/>
      <c r="P55" s="38"/>
      <c r="Q55" s="38"/>
      <c r="R55" s="21"/>
    </row>
    <row r="56" spans="1:19" ht="15.6" x14ac:dyDescent="0.3">
      <c r="A56" s="39" t="s">
        <v>49</v>
      </c>
      <c r="B56" s="40">
        <f>+B57+B58+B59</f>
        <v>98214</v>
      </c>
      <c r="C56" s="40">
        <f>+C57+C58+C59</f>
        <v>89126</v>
      </c>
      <c r="D56" s="40">
        <f>SUM(D57:D59)</f>
        <v>210439</v>
      </c>
      <c r="E56" s="40">
        <f t="shared" ref="E56" si="54">SUM(E57:E59)</f>
        <v>166077</v>
      </c>
      <c r="F56" s="40">
        <f>SUM(F57:F59)</f>
        <v>155651</v>
      </c>
      <c r="G56" s="40">
        <f t="shared" ref="G56:M56" si="55">SUM(G57:G59)</f>
        <v>162329</v>
      </c>
      <c r="H56" s="40">
        <f t="shared" si="55"/>
        <v>140598</v>
      </c>
      <c r="I56" s="40">
        <f t="shared" si="55"/>
        <v>115884</v>
      </c>
      <c r="J56" s="40">
        <f t="shared" si="55"/>
        <v>128965</v>
      </c>
      <c r="K56" s="40">
        <f t="shared" si="55"/>
        <v>110045</v>
      </c>
      <c r="L56" s="40">
        <f t="shared" si="55"/>
        <v>116779</v>
      </c>
      <c r="M56" s="40">
        <f t="shared" si="55"/>
        <v>108278</v>
      </c>
      <c r="N56" s="40">
        <f>SUM(N57:N59)</f>
        <v>1602385</v>
      </c>
      <c r="O56" s="40"/>
      <c r="P56" s="40"/>
      <c r="Q56" s="40"/>
      <c r="R56" s="40"/>
      <c r="S56" s="116">
        <v>9</v>
      </c>
    </row>
    <row r="57" spans="1:19" x14ac:dyDescent="0.3">
      <c r="A57" s="105" t="s">
        <v>50</v>
      </c>
      <c r="B57" s="41">
        <f>12480+28520+8887+10600+2315+35412</f>
        <v>98214</v>
      </c>
      <c r="C57" s="41">
        <f>7440+14240+11645+16840+3348+35612+1</f>
        <v>89126</v>
      </c>
      <c r="D57" s="41">
        <f>12800+128480+22320+6360+2356+31587+6536</f>
        <v>210439</v>
      </c>
      <c r="E57" s="41">
        <f>11120+37200+25276+16520+2607+26378+2584+44392</f>
        <v>166077</v>
      </c>
      <c r="F57" s="41">
        <f>9520+40+26913+18720+2492+44062+53904</f>
        <v>155651</v>
      </c>
      <c r="G57" s="41">
        <f>12800+40+31847+17920+3177+42929+53616</f>
        <v>162329</v>
      </c>
      <c r="H57" s="41">
        <f>5520+40+23373+19120+2721+42848+46976</f>
        <v>140598</v>
      </c>
      <c r="I57" s="41">
        <f>5520+24882+2576+19120+39850+23936</f>
        <v>115884</v>
      </c>
      <c r="J57" s="42">
        <f>6800+63200+671+15920+3634+38740</f>
        <v>128965</v>
      </c>
      <c r="K57" s="41">
        <f>5280+28800+4931+12320+1+2959+33250+22504</f>
        <v>110045</v>
      </c>
      <c r="L57" s="41">
        <f>28640+699+16400+1+2227+35236+33576</f>
        <v>116779</v>
      </c>
      <c r="M57" s="41">
        <f>80+28520+38+9400+1+1675+35412+33152</f>
        <v>108278</v>
      </c>
      <c r="N57" s="41">
        <f>SUM(B57:M57)</f>
        <v>1602385</v>
      </c>
      <c r="O57" s="41"/>
      <c r="P57" s="41"/>
      <c r="Q57" s="41"/>
      <c r="R57" s="41"/>
    </row>
    <row r="58" spans="1:19" ht="15" customHeight="1" x14ac:dyDescent="0.3">
      <c r="A58" s="105" t="s">
        <v>51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/>
      <c r="O58" s="41"/>
      <c r="P58" s="41"/>
      <c r="Q58" s="41"/>
      <c r="R58" s="41"/>
    </row>
    <row r="59" spans="1:19" ht="15" customHeight="1" x14ac:dyDescent="0.3">
      <c r="A59" s="105" t="s">
        <v>52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/>
      <c r="O59" s="41"/>
      <c r="P59" s="41"/>
      <c r="Q59" s="41"/>
      <c r="R59" s="41"/>
    </row>
    <row r="60" spans="1:19" ht="15" customHeight="1" x14ac:dyDescent="0.3">
      <c r="A60" s="23"/>
      <c r="B60" s="41"/>
      <c r="C60" s="41"/>
      <c r="D60" s="41"/>
      <c r="E60" s="41"/>
      <c r="F60" s="41"/>
      <c r="G60" s="41"/>
      <c r="H60" s="42"/>
      <c r="I60" s="42"/>
      <c r="J60" s="42"/>
      <c r="K60" s="19"/>
      <c r="L60" s="41"/>
      <c r="M60" s="41"/>
      <c r="N60" s="41"/>
      <c r="O60" s="41"/>
      <c r="P60" s="41"/>
      <c r="Q60" s="41"/>
      <c r="R60" s="41"/>
    </row>
    <row r="61" spans="1:19" ht="15.6" x14ac:dyDescent="0.3">
      <c r="A61" s="43" t="s">
        <v>53</v>
      </c>
      <c r="B61" s="40">
        <f>+B62+B63+B64</f>
        <v>191873.38</v>
      </c>
      <c r="C61" s="40">
        <f>+C62+C63+C64</f>
        <v>182108.73</v>
      </c>
      <c r="D61" s="40">
        <f>+D62+D63+D64</f>
        <v>174632.87</v>
      </c>
      <c r="E61" s="40">
        <f>+E62+E63+E64</f>
        <v>395719.28</v>
      </c>
      <c r="F61" s="40">
        <f t="shared" ref="F61:M61" si="56">+F62+F63+F64</f>
        <v>342264.23</v>
      </c>
      <c r="G61" s="40">
        <f t="shared" si="56"/>
        <v>318940.56</v>
      </c>
      <c r="H61" s="40">
        <f t="shared" si="56"/>
        <v>369569.71</v>
      </c>
      <c r="I61" s="40">
        <f t="shared" si="56"/>
        <v>335549.9</v>
      </c>
      <c r="J61" s="40">
        <f t="shared" si="56"/>
        <v>247475.45</v>
      </c>
      <c r="K61" s="40">
        <f t="shared" si="56"/>
        <v>330285.31</v>
      </c>
      <c r="L61" s="40">
        <f t="shared" si="56"/>
        <v>281637.24</v>
      </c>
      <c r="M61" s="40">
        <f t="shared" si="56"/>
        <v>273843.34000000003</v>
      </c>
      <c r="N61" s="40"/>
      <c r="O61" s="40"/>
      <c r="P61" s="40"/>
      <c r="Q61" s="40"/>
      <c r="R61" s="40"/>
      <c r="S61" s="116">
        <v>8</v>
      </c>
    </row>
    <row r="62" spans="1:19" x14ac:dyDescent="0.3">
      <c r="A62" s="105" t="s">
        <v>50</v>
      </c>
      <c r="B62" s="41">
        <f t="shared" ref="B62:M62" si="57">B29</f>
        <v>191873.38</v>
      </c>
      <c r="C62" s="41">
        <f t="shared" si="57"/>
        <v>182108.73</v>
      </c>
      <c r="D62" s="41">
        <f t="shared" si="57"/>
        <v>174632.87</v>
      </c>
      <c r="E62" s="117">
        <f t="shared" si="57"/>
        <v>395719.28</v>
      </c>
      <c r="F62" s="117">
        <f t="shared" si="57"/>
        <v>342264.23</v>
      </c>
      <c r="G62" s="41">
        <f t="shared" si="57"/>
        <v>318940.56</v>
      </c>
      <c r="H62" s="42">
        <f t="shared" si="57"/>
        <v>369569.71</v>
      </c>
      <c r="I62" s="42">
        <f t="shared" si="57"/>
        <v>335549.9</v>
      </c>
      <c r="J62" s="42">
        <f t="shared" si="57"/>
        <v>247475.45</v>
      </c>
      <c r="K62" s="19">
        <f t="shared" si="57"/>
        <v>330285.31</v>
      </c>
      <c r="L62" s="41">
        <f t="shared" si="57"/>
        <v>281637.24</v>
      </c>
      <c r="M62" s="41">
        <f t="shared" si="57"/>
        <v>273843.34000000003</v>
      </c>
      <c r="N62" s="41"/>
      <c r="O62" s="41"/>
      <c r="P62" s="41"/>
      <c r="Q62" s="41"/>
      <c r="R62" s="41"/>
    </row>
    <row r="63" spans="1:19" x14ac:dyDescent="0.3">
      <c r="A63" s="105" t="s">
        <v>51</v>
      </c>
      <c r="B63" s="41">
        <v>0</v>
      </c>
      <c r="C63" s="41">
        <v>0</v>
      </c>
      <c r="D63" s="41">
        <v>0</v>
      </c>
      <c r="E63" s="117">
        <v>0</v>
      </c>
      <c r="F63" s="41">
        <v>0</v>
      </c>
      <c r="G63" s="41">
        <v>0</v>
      </c>
      <c r="H63" s="42">
        <v>0</v>
      </c>
      <c r="I63" s="42">
        <v>0</v>
      </c>
      <c r="J63" s="42">
        <v>0</v>
      </c>
      <c r="K63" s="19">
        <v>0</v>
      </c>
      <c r="L63" s="41">
        <v>0</v>
      </c>
      <c r="M63" s="41">
        <v>0</v>
      </c>
      <c r="N63" s="41"/>
      <c r="O63" s="41"/>
      <c r="P63" s="41"/>
      <c r="Q63" s="41"/>
      <c r="R63" s="41"/>
    </row>
    <row r="64" spans="1:19" x14ac:dyDescent="0.3">
      <c r="A64" s="105" t="s">
        <v>52</v>
      </c>
      <c r="B64" s="41">
        <v>0</v>
      </c>
      <c r="C64" s="41">
        <v>0</v>
      </c>
      <c r="D64" s="41">
        <v>0</v>
      </c>
      <c r="E64" s="117">
        <v>0</v>
      </c>
      <c r="F64" s="41">
        <v>0</v>
      </c>
      <c r="G64" s="41">
        <v>0</v>
      </c>
      <c r="H64" s="42">
        <v>0</v>
      </c>
      <c r="I64" s="42">
        <v>0</v>
      </c>
      <c r="J64" s="42">
        <v>0</v>
      </c>
      <c r="K64" s="19">
        <v>0</v>
      </c>
      <c r="L64" s="41">
        <v>0</v>
      </c>
      <c r="M64" s="41">
        <v>0</v>
      </c>
      <c r="N64" s="41"/>
      <c r="O64" s="41"/>
      <c r="P64" s="41"/>
      <c r="Q64" s="41"/>
      <c r="R64" s="41"/>
    </row>
    <row r="65" spans="1:19" x14ac:dyDescent="0.3">
      <c r="A65" s="44"/>
      <c r="B65" s="41"/>
      <c r="C65" s="41"/>
      <c r="D65" s="41"/>
      <c r="E65" s="117"/>
      <c r="F65" s="41"/>
      <c r="G65" s="41"/>
      <c r="H65" s="42"/>
      <c r="I65" s="42"/>
      <c r="J65" s="42"/>
      <c r="K65" s="19"/>
      <c r="L65" s="41"/>
      <c r="M65" s="41"/>
      <c r="N65" s="41"/>
      <c r="O65" s="41"/>
      <c r="P65" s="41"/>
      <c r="Q65" s="41"/>
      <c r="R65" s="41"/>
    </row>
    <row r="66" spans="1:19" x14ac:dyDescent="0.3">
      <c r="A66" s="107" t="s">
        <v>54</v>
      </c>
      <c r="B66" s="46" t="s">
        <v>56</v>
      </c>
      <c r="C66" s="46" t="s">
        <v>56</v>
      </c>
      <c r="D66" s="46" t="s">
        <v>56</v>
      </c>
      <c r="E66" s="46" t="s">
        <v>56</v>
      </c>
      <c r="F66" s="46" t="s">
        <v>56</v>
      </c>
      <c r="G66" s="46" t="s">
        <v>56</v>
      </c>
      <c r="H66" s="46" t="s">
        <v>56</v>
      </c>
      <c r="I66" s="46" t="s">
        <v>56</v>
      </c>
      <c r="J66" s="46" t="s">
        <v>56</v>
      </c>
      <c r="K66" s="47" t="s">
        <v>56</v>
      </c>
      <c r="L66" s="46" t="s">
        <v>56</v>
      </c>
      <c r="M66" s="46" t="s">
        <v>56</v>
      </c>
      <c r="N66" s="46"/>
      <c r="O66" s="46"/>
      <c r="P66" s="46"/>
      <c r="Q66" s="46"/>
      <c r="R66" s="46"/>
    </row>
    <row r="67" spans="1:19" x14ac:dyDescent="0.3">
      <c r="A67" s="107" t="s">
        <v>55</v>
      </c>
      <c r="B67" s="46" t="s">
        <v>56</v>
      </c>
      <c r="C67" s="46" t="s">
        <v>56</v>
      </c>
      <c r="D67" s="46" t="s">
        <v>56</v>
      </c>
      <c r="E67" s="46" t="s">
        <v>56</v>
      </c>
      <c r="F67" s="46" t="s">
        <v>56</v>
      </c>
      <c r="G67" s="46" t="s">
        <v>56</v>
      </c>
      <c r="H67" s="46" t="s">
        <v>56</v>
      </c>
      <c r="I67" s="46" t="s">
        <v>56</v>
      </c>
      <c r="J67" s="46" t="s">
        <v>56</v>
      </c>
      <c r="K67" s="19" t="s">
        <v>56</v>
      </c>
      <c r="L67" s="46" t="s">
        <v>56</v>
      </c>
      <c r="M67" s="46" t="s">
        <v>56</v>
      </c>
      <c r="N67" s="46"/>
      <c r="O67" s="46"/>
      <c r="P67" s="46"/>
      <c r="Q67" s="46"/>
      <c r="R67" s="46"/>
    </row>
    <row r="68" spans="1:19" x14ac:dyDescent="0.3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19"/>
      <c r="L68" s="46"/>
      <c r="M68" s="46"/>
      <c r="N68" s="46"/>
      <c r="O68" s="46"/>
      <c r="P68" s="46"/>
      <c r="Q68" s="46"/>
      <c r="R68" s="46"/>
    </row>
    <row r="69" spans="1:19" x14ac:dyDescent="0.3">
      <c r="A69" s="36" t="s">
        <v>57</v>
      </c>
      <c r="B69" s="41"/>
      <c r="C69" s="41"/>
      <c r="D69" s="41"/>
      <c r="E69" s="41"/>
      <c r="F69" s="41"/>
      <c r="G69" s="41"/>
      <c r="H69" s="41"/>
      <c r="I69" s="41"/>
      <c r="J69" s="41"/>
      <c r="K69" s="19"/>
      <c r="L69" s="41"/>
      <c r="M69" s="41"/>
      <c r="N69" s="41"/>
      <c r="O69" s="41"/>
      <c r="P69" s="41"/>
      <c r="Q69" s="41"/>
      <c r="R69" s="41"/>
    </row>
    <row r="70" spans="1:19" ht="16.2" x14ac:dyDescent="0.3">
      <c r="A70" s="43" t="s">
        <v>58</v>
      </c>
      <c r="B70" s="48">
        <f t="shared" ref="B70:C70" si="58">+B71+B74</f>
        <v>208132</v>
      </c>
      <c r="C70" s="48">
        <f t="shared" si="58"/>
        <v>180066</v>
      </c>
      <c r="D70" s="48">
        <f>+D71+D74</f>
        <v>197337</v>
      </c>
      <c r="E70" s="48">
        <f t="shared" ref="E70:M70" si="59">+E71+E74</f>
        <v>239248</v>
      </c>
      <c r="F70" s="48">
        <f t="shared" si="59"/>
        <v>249892</v>
      </c>
      <c r="G70" s="48">
        <f t="shared" si="59"/>
        <v>227389</v>
      </c>
      <c r="H70" s="48">
        <f t="shared" si="59"/>
        <v>242854</v>
      </c>
      <c r="I70" s="48">
        <f t="shared" si="59"/>
        <v>224799</v>
      </c>
      <c r="J70" s="48">
        <f t="shared" si="59"/>
        <v>221642</v>
      </c>
      <c r="K70" s="48">
        <f t="shared" si="59"/>
        <v>232724.1</v>
      </c>
      <c r="L70" s="48">
        <f t="shared" si="59"/>
        <v>203529</v>
      </c>
      <c r="M70" s="48">
        <f t="shared" si="59"/>
        <v>208469</v>
      </c>
      <c r="N70" s="40">
        <f>SUM(B70:M70)</f>
        <v>2636081.1</v>
      </c>
      <c r="O70" s="40"/>
      <c r="P70" s="40"/>
      <c r="Q70" s="40"/>
      <c r="R70" s="40"/>
      <c r="S70" s="116">
        <v>1</v>
      </c>
    </row>
    <row r="71" spans="1:19" x14ac:dyDescent="0.3">
      <c r="A71" s="105" t="s">
        <v>59</v>
      </c>
      <c r="B71" s="41">
        <v>208132</v>
      </c>
      <c r="C71" s="41">
        <v>180066</v>
      </c>
      <c r="D71" s="49">
        <v>197337</v>
      </c>
      <c r="E71" s="49">
        <v>239248</v>
      </c>
      <c r="F71" s="49">
        <v>249892</v>
      </c>
      <c r="G71" s="49">
        <v>227389</v>
      </c>
      <c r="H71" s="49">
        <v>242854</v>
      </c>
      <c r="I71" s="49">
        <v>224799</v>
      </c>
      <c r="J71" s="49">
        <v>221642</v>
      </c>
      <c r="K71" s="50">
        <f>J71*1.05</f>
        <v>232724.1</v>
      </c>
      <c r="L71" s="41">
        <v>203529</v>
      </c>
      <c r="M71" s="41">
        <v>208469</v>
      </c>
      <c r="N71" s="41"/>
      <c r="O71" s="41"/>
      <c r="P71" s="41"/>
      <c r="Q71" s="41"/>
      <c r="R71" s="41"/>
    </row>
    <row r="72" spans="1:19" x14ac:dyDescent="0.3">
      <c r="A72" s="105" t="s">
        <v>60</v>
      </c>
      <c r="B72" s="41">
        <v>0</v>
      </c>
      <c r="C72" s="41">
        <v>0</v>
      </c>
      <c r="D72" s="49"/>
      <c r="E72" s="41"/>
      <c r="F72" s="41"/>
      <c r="G72" s="49"/>
      <c r="H72" s="41"/>
      <c r="I72" s="41"/>
      <c r="J72" s="49"/>
      <c r="K72" s="19"/>
      <c r="L72" s="41"/>
      <c r="M72" s="41"/>
      <c r="N72" s="41"/>
      <c r="O72" s="41"/>
      <c r="P72" s="41"/>
      <c r="Q72" s="41"/>
      <c r="R72" s="41"/>
    </row>
    <row r="73" spans="1:19" x14ac:dyDescent="0.3">
      <c r="A73" s="105" t="s">
        <v>61</v>
      </c>
      <c r="B73" s="41">
        <v>0</v>
      </c>
      <c r="C73" s="41">
        <v>0</v>
      </c>
      <c r="D73" s="49"/>
      <c r="E73" s="46"/>
      <c r="F73" s="46"/>
      <c r="G73" s="49"/>
      <c r="H73" s="46"/>
      <c r="I73" s="41"/>
      <c r="J73" s="49"/>
      <c r="K73" s="19"/>
      <c r="L73" s="41"/>
      <c r="M73" s="41"/>
      <c r="N73" s="41"/>
      <c r="O73" s="41"/>
      <c r="P73" s="41"/>
      <c r="Q73" s="41"/>
      <c r="R73" s="41"/>
    </row>
    <row r="74" spans="1:19" x14ac:dyDescent="0.3">
      <c r="A74" s="108" t="s">
        <v>62</v>
      </c>
      <c r="B74" s="41">
        <v>0</v>
      </c>
      <c r="C74" s="41">
        <v>0</v>
      </c>
      <c r="D74" s="49"/>
      <c r="E74" s="49"/>
      <c r="F74" s="49"/>
      <c r="G74" s="49"/>
      <c r="H74" s="49"/>
      <c r="I74" s="41"/>
      <c r="J74" s="49"/>
      <c r="K74" s="50"/>
      <c r="L74" s="41"/>
      <c r="M74" s="41"/>
      <c r="N74" s="41"/>
      <c r="O74" s="41"/>
      <c r="P74" s="41"/>
      <c r="Q74" s="41"/>
      <c r="R74" s="41"/>
    </row>
    <row r="75" spans="1:19" x14ac:dyDescent="0.3">
      <c r="A75" s="51"/>
      <c r="B75" s="52"/>
      <c r="C75" s="52"/>
      <c r="D75" s="46"/>
      <c r="E75" s="46"/>
      <c r="F75" s="52"/>
      <c r="G75" s="46"/>
      <c r="H75" s="46"/>
      <c r="I75" s="52"/>
      <c r="J75" s="46"/>
      <c r="K75" s="19"/>
      <c r="L75" s="52"/>
      <c r="M75" s="52"/>
      <c r="N75" s="52"/>
      <c r="O75" s="52"/>
      <c r="P75" s="52"/>
      <c r="Q75" s="52"/>
      <c r="R75" s="52"/>
    </row>
    <row r="76" spans="1:19" ht="15.6" x14ac:dyDescent="0.3">
      <c r="A76" s="53" t="s">
        <v>63</v>
      </c>
      <c r="B76" s="29">
        <f>+B77+B78+B79+B80+B81</f>
        <v>137041</v>
      </c>
      <c r="C76" s="29">
        <f>SUM(C77:C81)</f>
        <v>126016</v>
      </c>
      <c r="D76" s="29">
        <f>SUM(D77:D81)</f>
        <v>118041</v>
      </c>
      <c r="E76" s="29">
        <f t="shared" ref="E76:M76" si="60">SUM(E77:E81)</f>
        <v>156148</v>
      </c>
      <c r="F76" s="29">
        <f t="shared" si="60"/>
        <v>136388</v>
      </c>
      <c r="G76" s="29">
        <f t="shared" si="60"/>
        <v>149899</v>
      </c>
      <c r="H76" s="29">
        <f t="shared" si="60"/>
        <v>159439</v>
      </c>
      <c r="I76" s="29">
        <f t="shared" si="60"/>
        <v>137864</v>
      </c>
      <c r="J76" s="29">
        <f t="shared" si="60"/>
        <v>137529</v>
      </c>
      <c r="K76" s="29">
        <f t="shared" si="60"/>
        <v>152739</v>
      </c>
      <c r="L76" s="29">
        <f t="shared" si="60"/>
        <v>136350</v>
      </c>
      <c r="M76" s="29">
        <f t="shared" si="60"/>
        <v>121082</v>
      </c>
      <c r="N76" s="29">
        <f>SUM(N77:N81)</f>
        <v>1668536</v>
      </c>
      <c r="O76" s="29"/>
      <c r="P76" s="29"/>
      <c r="Q76" s="29"/>
      <c r="R76" s="29"/>
      <c r="S76" s="116">
        <v>2</v>
      </c>
    </row>
    <row r="77" spans="1:19" x14ac:dyDescent="0.3">
      <c r="A77" s="105" t="s">
        <v>64</v>
      </c>
      <c r="B77" s="41">
        <v>123640</v>
      </c>
      <c r="C77" s="41">
        <v>112549</v>
      </c>
      <c r="D77" s="54">
        <v>105922</v>
      </c>
      <c r="E77" s="41">
        <v>140897</v>
      </c>
      <c r="F77" s="41">
        <v>121990</v>
      </c>
      <c r="G77" s="41">
        <v>133440</v>
      </c>
      <c r="H77" s="41">
        <v>143233</v>
      </c>
      <c r="I77" s="41">
        <v>122312</v>
      </c>
      <c r="J77" s="41">
        <v>123348</v>
      </c>
      <c r="K77" s="19">
        <v>136658</v>
      </c>
      <c r="L77" s="41">
        <v>121930</v>
      </c>
      <c r="M77" s="41">
        <v>109912</v>
      </c>
      <c r="N77" s="41">
        <f>SUM(B77:M77)</f>
        <v>1495831</v>
      </c>
      <c r="O77" s="41"/>
      <c r="P77" s="41"/>
      <c r="Q77" s="41"/>
      <c r="R77" s="41"/>
    </row>
    <row r="78" spans="1:19" x14ac:dyDescent="0.3">
      <c r="A78" s="105" t="s">
        <v>65</v>
      </c>
      <c r="B78" s="41">
        <v>5157</v>
      </c>
      <c r="C78" s="41">
        <v>4161</v>
      </c>
      <c r="D78" s="54">
        <v>3690</v>
      </c>
      <c r="E78" s="41">
        <v>5686</v>
      </c>
      <c r="F78" s="41">
        <v>4553</v>
      </c>
      <c r="G78" s="41">
        <v>5362</v>
      </c>
      <c r="H78" s="41">
        <v>5270</v>
      </c>
      <c r="I78" s="41">
        <v>4629</v>
      </c>
      <c r="J78" s="41">
        <v>4637</v>
      </c>
      <c r="K78" s="19">
        <v>4766</v>
      </c>
      <c r="L78" s="41">
        <v>3911</v>
      </c>
      <c r="M78" s="41">
        <v>3403</v>
      </c>
      <c r="N78" s="41">
        <f>SUM(B78:M78)</f>
        <v>55225</v>
      </c>
      <c r="O78" s="41"/>
      <c r="P78" s="41"/>
      <c r="Q78" s="41"/>
      <c r="R78" s="41"/>
    </row>
    <row r="79" spans="1:19" x14ac:dyDescent="0.3">
      <c r="A79" s="105" t="s">
        <v>66</v>
      </c>
      <c r="B79" s="41">
        <v>613</v>
      </c>
      <c r="C79" s="41">
        <v>468</v>
      </c>
      <c r="D79" s="54">
        <v>277</v>
      </c>
      <c r="E79" s="41">
        <v>587</v>
      </c>
      <c r="F79" s="41">
        <v>461</v>
      </c>
      <c r="G79" s="41">
        <v>533</v>
      </c>
      <c r="H79" s="41">
        <v>862</v>
      </c>
      <c r="I79" s="41">
        <v>774</v>
      </c>
      <c r="J79" s="41">
        <v>558</v>
      </c>
      <c r="K79" s="19">
        <v>858</v>
      </c>
      <c r="L79" s="41">
        <v>684</v>
      </c>
      <c r="M79" s="41">
        <v>470</v>
      </c>
      <c r="N79" s="41">
        <f>SUM(B79:M79)</f>
        <v>7145</v>
      </c>
      <c r="O79" s="41"/>
      <c r="P79" s="41"/>
      <c r="Q79" s="41"/>
      <c r="R79" s="41"/>
    </row>
    <row r="80" spans="1:19" x14ac:dyDescent="0.3">
      <c r="A80" s="105" t="s">
        <v>67</v>
      </c>
      <c r="B80" s="41">
        <v>1851</v>
      </c>
      <c r="C80" s="41">
        <v>2737</v>
      </c>
      <c r="D80" s="54">
        <v>2734</v>
      </c>
      <c r="E80" s="41">
        <v>3037</v>
      </c>
      <c r="F80" s="41">
        <v>3299</v>
      </c>
      <c r="G80" s="41">
        <v>3170</v>
      </c>
      <c r="H80" s="41">
        <v>3271</v>
      </c>
      <c r="I80" s="41">
        <v>3090</v>
      </c>
      <c r="J80" s="41">
        <v>2896</v>
      </c>
      <c r="K80" s="19">
        <v>3911</v>
      </c>
      <c r="L80" s="41">
        <v>3261</v>
      </c>
      <c r="M80" s="41">
        <v>3243</v>
      </c>
      <c r="N80" s="41">
        <f>SUM(B80:M80)</f>
        <v>36500</v>
      </c>
      <c r="O80" s="41"/>
      <c r="P80" s="41"/>
      <c r="Q80" s="41"/>
      <c r="R80" s="41"/>
      <c r="S80" s="116">
        <v>22</v>
      </c>
    </row>
    <row r="81" spans="1:19" x14ac:dyDescent="0.3">
      <c r="A81" s="105" t="s">
        <v>68</v>
      </c>
      <c r="B81" s="41">
        <v>5780</v>
      </c>
      <c r="C81" s="41">
        <v>6101</v>
      </c>
      <c r="D81" s="54">
        <v>5418</v>
      </c>
      <c r="E81" s="41">
        <v>5941</v>
      </c>
      <c r="F81" s="41">
        <v>6085</v>
      </c>
      <c r="G81" s="41">
        <v>7394</v>
      </c>
      <c r="H81" s="41">
        <v>6803</v>
      </c>
      <c r="I81" s="41">
        <v>7059</v>
      </c>
      <c r="J81" s="41">
        <v>6090</v>
      </c>
      <c r="K81" s="19">
        <v>6546</v>
      </c>
      <c r="L81" s="41">
        <v>6564</v>
      </c>
      <c r="M81" s="41">
        <v>4054</v>
      </c>
      <c r="N81" s="41">
        <f>SUM(B81:M81)</f>
        <v>73835</v>
      </c>
      <c r="O81" s="41"/>
      <c r="P81" s="41"/>
      <c r="Q81" s="41"/>
      <c r="R81" s="41"/>
      <c r="S81" s="116">
        <v>22</v>
      </c>
    </row>
    <row r="82" spans="1:19" x14ac:dyDescent="0.3">
      <c r="A82" s="23"/>
      <c r="B82" s="41"/>
      <c r="C82" s="41"/>
      <c r="D82" s="41"/>
      <c r="E82" s="41"/>
      <c r="F82" s="41"/>
      <c r="G82" s="41"/>
      <c r="H82" s="41"/>
      <c r="I82" s="41"/>
      <c r="J82" s="41"/>
      <c r="K82" s="19"/>
      <c r="L82" s="41"/>
      <c r="M82" s="41"/>
      <c r="N82" s="41"/>
      <c r="O82" s="41"/>
      <c r="P82" s="41"/>
      <c r="Q82" s="41"/>
      <c r="R82" s="41"/>
    </row>
    <row r="83" spans="1:19" x14ac:dyDescent="0.3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19"/>
      <c r="L83" s="56"/>
      <c r="M83" s="56"/>
      <c r="N83" s="56"/>
      <c r="O83" s="56"/>
      <c r="P83" s="56"/>
      <c r="Q83" s="56"/>
      <c r="R83" s="56"/>
    </row>
    <row r="84" spans="1:19" ht="15.6" x14ac:dyDescent="0.3">
      <c r="A84" s="53" t="s">
        <v>69</v>
      </c>
      <c r="B84" s="29">
        <f>+B85+B86</f>
        <v>83125</v>
      </c>
      <c r="C84" s="29">
        <f t="shared" ref="C84:M84" si="61">SUM(C85:C86)</f>
        <v>63057</v>
      </c>
      <c r="D84" s="29">
        <f t="shared" si="61"/>
        <v>78505</v>
      </c>
      <c r="E84" s="29">
        <f t="shared" si="61"/>
        <v>78212</v>
      </c>
      <c r="F84" s="29">
        <f t="shared" si="61"/>
        <v>79072</v>
      </c>
      <c r="G84" s="29">
        <f t="shared" si="61"/>
        <v>78495</v>
      </c>
      <c r="H84" s="29">
        <f t="shared" si="61"/>
        <v>86201</v>
      </c>
      <c r="I84" s="29">
        <f t="shared" si="61"/>
        <v>77718</v>
      </c>
      <c r="J84" s="29">
        <f t="shared" si="61"/>
        <v>70560</v>
      </c>
      <c r="K84" s="29">
        <f t="shared" si="61"/>
        <v>75000</v>
      </c>
      <c r="L84" s="29">
        <f t="shared" si="61"/>
        <v>88701</v>
      </c>
      <c r="M84" s="29">
        <f t="shared" si="61"/>
        <v>82269</v>
      </c>
      <c r="N84" s="29">
        <f>SUM(B84:M84)</f>
        <v>940915</v>
      </c>
      <c r="O84" s="29"/>
      <c r="P84" s="29"/>
      <c r="Q84" s="29"/>
      <c r="R84" s="29"/>
    </row>
    <row r="85" spans="1:19" x14ac:dyDescent="0.3">
      <c r="A85" s="105" t="s">
        <v>70</v>
      </c>
      <c r="B85" s="41">
        <v>75263</v>
      </c>
      <c r="C85" s="41">
        <v>56246</v>
      </c>
      <c r="D85" s="41">
        <v>66175</v>
      </c>
      <c r="E85" s="41">
        <v>71295</v>
      </c>
      <c r="F85" s="41">
        <v>69077</v>
      </c>
      <c r="G85" s="41">
        <v>69493</v>
      </c>
      <c r="H85" s="41">
        <v>78026</v>
      </c>
      <c r="I85" s="41">
        <v>68095</v>
      </c>
      <c r="J85" s="41">
        <v>61353</v>
      </c>
      <c r="K85" s="19">
        <v>66955</v>
      </c>
      <c r="L85" s="41">
        <v>73602</v>
      </c>
      <c r="M85" s="41">
        <v>69219</v>
      </c>
      <c r="N85" s="41">
        <f>SUM(B85:M85)</f>
        <v>824799</v>
      </c>
      <c r="O85" s="41"/>
      <c r="P85" s="41"/>
      <c r="Q85" s="41"/>
      <c r="R85" s="41"/>
      <c r="S85" s="116">
        <v>3</v>
      </c>
    </row>
    <row r="86" spans="1:19" x14ac:dyDescent="0.3">
      <c r="A86" s="105" t="s">
        <v>71</v>
      </c>
      <c r="B86" s="41">
        <v>7862</v>
      </c>
      <c r="C86" s="41">
        <v>6811</v>
      </c>
      <c r="D86" s="41">
        <v>12330</v>
      </c>
      <c r="E86" s="41">
        <v>6917</v>
      </c>
      <c r="F86" s="41">
        <v>9995</v>
      </c>
      <c r="G86" s="41">
        <v>9002</v>
      </c>
      <c r="H86" s="41">
        <v>8175</v>
      </c>
      <c r="I86" s="41">
        <v>9623</v>
      </c>
      <c r="J86" s="41">
        <v>9207</v>
      </c>
      <c r="K86" s="19">
        <v>8045</v>
      </c>
      <c r="L86" s="41">
        <v>15099</v>
      </c>
      <c r="M86" s="41">
        <v>13050</v>
      </c>
      <c r="N86" s="41">
        <f>SUM(B86:M86)</f>
        <v>116116</v>
      </c>
      <c r="O86" s="41"/>
      <c r="P86" s="41"/>
      <c r="Q86" s="41"/>
      <c r="R86" s="41"/>
      <c r="S86" s="116">
        <v>4</v>
      </c>
    </row>
    <row r="87" spans="1:19" x14ac:dyDescent="0.3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19"/>
      <c r="L87" s="58"/>
      <c r="M87" s="58"/>
      <c r="N87" s="58"/>
      <c r="O87" s="58"/>
      <c r="P87" s="58"/>
      <c r="Q87" s="58"/>
      <c r="R87" s="58"/>
    </row>
    <row r="88" spans="1:19" x14ac:dyDescent="0.3">
      <c r="A88" s="36" t="s">
        <v>72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9" ht="15.6" x14ac:dyDescent="0.3">
      <c r="A89" s="59" t="s">
        <v>73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9" ht="15" x14ac:dyDescent="0.3">
      <c r="A90" s="122" t="s">
        <v>74</v>
      </c>
      <c r="B90" s="60">
        <f t="shared" ref="B90:G90" si="62">B71*0.8</f>
        <v>166505.60000000001</v>
      </c>
      <c r="C90" s="60">
        <f t="shared" si="62"/>
        <v>144052.80000000002</v>
      </c>
      <c r="D90" s="60">
        <f t="shared" si="62"/>
        <v>157869.6</v>
      </c>
      <c r="E90" s="60">
        <f t="shared" si="62"/>
        <v>191398.40000000002</v>
      </c>
      <c r="F90" s="60">
        <f t="shared" si="62"/>
        <v>199913.60000000001</v>
      </c>
      <c r="G90" s="60">
        <f t="shared" si="62"/>
        <v>181911.2</v>
      </c>
      <c r="H90" s="60">
        <f t="shared" ref="H90:I90" si="63">H71*0.8</f>
        <v>194283.2</v>
      </c>
      <c r="I90" s="60">
        <f t="shared" si="63"/>
        <v>179839.2</v>
      </c>
      <c r="J90" s="60">
        <f t="shared" ref="J90:K90" si="64">J71*0.8</f>
        <v>177313.6</v>
      </c>
      <c r="K90" s="60">
        <f t="shared" si="64"/>
        <v>186179.28000000003</v>
      </c>
      <c r="L90" s="60">
        <f t="shared" ref="L90:M90" si="65">L71*0.8</f>
        <v>162823.20000000001</v>
      </c>
      <c r="M90" s="60">
        <f t="shared" si="65"/>
        <v>166775.20000000001</v>
      </c>
      <c r="N90" s="60">
        <f>SUM(B90:M90)</f>
        <v>2108864.88</v>
      </c>
      <c r="O90" s="60"/>
      <c r="P90" s="60"/>
      <c r="Q90" s="60"/>
      <c r="R90" s="60"/>
    </row>
    <row r="91" spans="1:19" ht="15" x14ac:dyDescent="0.3">
      <c r="A91" s="122" t="s">
        <v>75</v>
      </c>
      <c r="B91" s="60">
        <f t="shared" ref="B91:G91" si="66">B70*0.75</f>
        <v>156099</v>
      </c>
      <c r="C91" s="60">
        <f t="shared" si="66"/>
        <v>135049.5</v>
      </c>
      <c r="D91" s="60">
        <f t="shared" si="66"/>
        <v>148002.75</v>
      </c>
      <c r="E91" s="60">
        <f t="shared" si="66"/>
        <v>179436</v>
      </c>
      <c r="F91" s="60">
        <f t="shared" si="66"/>
        <v>187419</v>
      </c>
      <c r="G91" s="60">
        <f t="shared" si="66"/>
        <v>170541.75</v>
      </c>
      <c r="H91" s="60">
        <f t="shared" ref="H91:I91" si="67">H70*0.75</f>
        <v>182140.5</v>
      </c>
      <c r="I91" s="60">
        <f t="shared" si="67"/>
        <v>168599.25</v>
      </c>
      <c r="J91" s="60">
        <f t="shared" ref="J91:K91" si="68">J70*0.75</f>
        <v>166231.5</v>
      </c>
      <c r="K91" s="60">
        <f t="shared" si="68"/>
        <v>174543.07500000001</v>
      </c>
      <c r="L91" s="60">
        <f t="shared" ref="L91:M91" si="69">L70*0.75</f>
        <v>152646.75</v>
      </c>
      <c r="M91" s="60">
        <f t="shared" si="69"/>
        <v>156351.75</v>
      </c>
      <c r="N91" s="60">
        <f>SUM(B91:M91)</f>
        <v>1977060.825</v>
      </c>
      <c r="O91" s="60"/>
      <c r="P91" s="60"/>
      <c r="Q91" s="60"/>
      <c r="R91" s="60"/>
    </row>
    <row r="92" spans="1:19" ht="15" x14ac:dyDescent="0.3">
      <c r="A92" s="121" t="s">
        <v>76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2">
        <v>0</v>
      </c>
      <c r="I92" s="41">
        <v>0</v>
      </c>
      <c r="J92" s="41">
        <v>0</v>
      </c>
      <c r="K92" s="19">
        <v>0</v>
      </c>
      <c r="L92" s="41">
        <v>0</v>
      </c>
      <c r="M92" s="41">
        <v>0</v>
      </c>
      <c r="N92" s="41"/>
      <c r="O92" s="41"/>
      <c r="P92" s="41"/>
      <c r="Q92" s="41"/>
      <c r="R92" s="41"/>
    </row>
    <row r="93" spans="1:19" ht="15" x14ac:dyDescent="0.3">
      <c r="A93" s="121" t="s">
        <v>77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19">
        <v>0</v>
      </c>
      <c r="L93" s="41">
        <v>0</v>
      </c>
      <c r="M93" s="41">
        <v>0</v>
      </c>
      <c r="N93" s="41"/>
      <c r="O93" s="41"/>
      <c r="P93" s="41"/>
      <c r="Q93" s="41"/>
      <c r="R93" s="41"/>
    </row>
    <row r="94" spans="1:19" ht="15" x14ac:dyDescent="0.3">
      <c r="A94" s="61" t="s">
        <v>78</v>
      </c>
      <c r="B94" s="41">
        <f>+B91-B92-B93</f>
        <v>156099</v>
      </c>
      <c r="C94" s="41">
        <f>+C91-C92-C93</f>
        <v>135049.5</v>
      </c>
      <c r="D94" s="41">
        <f t="shared" ref="D94:M94" si="70">+D91-D92-D93</f>
        <v>148002.75</v>
      </c>
      <c r="E94" s="41">
        <f t="shared" si="70"/>
        <v>179436</v>
      </c>
      <c r="F94" s="41">
        <f t="shared" si="70"/>
        <v>187419</v>
      </c>
      <c r="G94" s="41">
        <f t="shared" si="70"/>
        <v>170541.75</v>
      </c>
      <c r="H94" s="41">
        <f t="shared" si="70"/>
        <v>182140.5</v>
      </c>
      <c r="I94" s="41">
        <f t="shared" si="70"/>
        <v>168599.25</v>
      </c>
      <c r="J94" s="41">
        <f t="shared" si="70"/>
        <v>166231.5</v>
      </c>
      <c r="K94" s="41">
        <f t="shared" si="70"/>
        <v>174543.07500000001</v>
      </c>
      <c r="L94" s="41">
        <f t="shared" si="70"/>
        <v>152646.75</v>
      </c>
      <c r="M94" s="41">
        <f t="shared" si="70"/>
        <v>156351.75</v>
      </c>
      <c r="N94" s="41"/>
      <c r="O94" s="41"/>
      <c r="P94" s="41"/>
      <c r="Q94" s="41"/>
      <c r="R94" s="41"/>
    </row>
    <row r="95" spans="1:19" ht="15" x14ac:dyDescent="0.3">
      <c r="A95" s="61"/>
      <c r="B95" s="41"/>
      <c r="C95" s="41"/>
      <c r="D95" s="41"/>
      <c r="E95" s="41"/>
      <c r="F95" s="41"/>
      <c r="G95" s="41"/>
      <c r="H95" s="41"/>
      <c r="I95" s="41"/>
      <c r="J95" s="41"/>
      <c r="K95" s="19"/>
      <c r="L95" s="41"/>
      <c r="M95" s="41"/>
      <c r="N95" s="41"/>
      <c r="O95" s="41"/>
      <c r="P95" s="41"/>
      <c r="Q95" s="41"/>
      <c r="R95" s="41"/>
    </row>
    <row r="96" spans="1:19" x14ac:dyDescent="0.3">
      <c r="A96" s="36" t="s">
        <v>0</v>
      </c>
      <c r="B96" s="62"/>
      <c r="C96" s="62"/>
      <c r="D96" s="62"/>
      <c r="E96" s="62"/>
      <c r="F96" s="62"/>
      <c r="G96" s="62"/>
      <c r="H96" s="62"/>
      <c r="I96" s="62"/>
      <c r="J96" s="62"/>
      <c r="K96" s="19"/>
      <c r="L96" s="62"/>
      <c r="M96" s="62"/>
      <c r="N96" s="62"/>
      <c r="O96" s="62"/>
      <c r="P96" s="62"/>
      <c r="Q96" s="62"/>
      <c r="R96" s="62"/>
    </row>
    <row r="97" spans="1:19" ht="15.6" x14ac:dyDescent="0.3">
      <c r="A97" s="53" t="s">
        <v>79</v>
      </c>
      <c r="B97" s="29">
        <f t="shared" ref="B97:G97" si="71">SUM(B98:B102)</f>
        <v>2030787.69</v>
      </c>
      <c r="C97" s="29">
        <f t="shared" si="71"/>
        <v>1861072.75</v>
      </c>
      <c r="D97" s="29">
        <f t="shared" si="71"/>
        <v>1786094.5299999998</v>
      </c>
      <c r="E97" s="29">
        <f t="shared" si="71"/>
        <v>2215524.0299999998</v>
      </c>
      <c r="F97" s="29">
        <f t="shared" si="71"/>
        <v>1990372.25</v>
      </c>
      <c r="G97" s="29">
        <f t="shared" si="71"/>
        <v>2181550.5299999998</v>
      </c>
      <c r="H97" s="29">
        <f t="shared" ref="H97:M97" si="72">SUM(H98:H102)</f>
        <v>2253671.2499999995</v>
      </c>
      <c r="I97" s="29">
        <f t="shared" si="72"/>
        <v>2095473.48</v>
      </c>
      <c r="J97" s="29">
        <f t="shared" si="72"/>
        <v>2131835.35</v>
      </c>
      <c r="K97" s="29">
        <f t="shared" si="72"/>
        <v>2315415.7799999998</v>
      </c>
      <c r="L97" s="29">
        <f t="shared" si="72"/>
        <v>2176536.6799999997</v>
      </c>
      <c r="M97" s="29">
        <f t="shared" si="72"/>
        <v>1965753.25</v>
      </c>
      <c r="N97" s="29">
        <f>SUM(B97:M97)</f>
        <v>25004087.57</v>
      </c>
      <c r="O97" s="29"/>
      <c r="P97" s="29"/>
      <c r="Q97" s="29"/>
      <c r="R97" s="29"/>
    </row>
    <row r="98" spans="1:19" x14ac:dyDescent="0.3">
      <c r="A98" s="105" t="s">
        <v>64</v>
      </c>
      <c r="B98" s="41">
        <v>1730124.44</v>
      </c>
      <c r="C98" s="41">
        <v>1590200.21</v>
      </c>
      <c r="D98" s="41">
        <v>1552821.22</v>
      </c>
      <c r="E98" s="41">
        <v>1896715.78</v>
      </c>
      <c r="F98" s="41">
        <v>1706518.94</v>
      </c>
      <c r="G98" s="41">
        <v>1836564.66</v>
      </c>
      <c r="H98" s="41">
        <v>1964149.4</v>
      </c>
      <c r="I98" s="41">
        <v>1811406.86</v>
      </c>
      <c r="J98" s="41">
        <v>1874466.11</v>
      </c>
      <c r="K98" s="41">
        <v>2017915.01</v>
      </c>
      <c r="L98" s="41">
        <v>1914444.38</v>
      </c>
      <c r="M98" s="41">
        <v>1767443.2</v>
      </c>
      <c r="N98" s="41"/>
      <c r="O98" s="41"/>
      <c r="P98" s="41"/>
      <c r="Q98" s="41"/>
      <c r="R98" s="41"/>
      <c r="S98" s="116">
        <v>5</v>
      </c>
    </row>
    <row r="99" spans="1:19" x14ac:dyDescent="0.3">
      <c r="A99" s="105" t="s">
        <v>65</v>
      </c>
      <c r="B99" s="41">
        <v>141764.88</v>
      </c>
      <c r="C99" s="41">
        <v>98692.86</v>
      </c>
      <c r="D99" s="41">
        <v>85627.29</v>
      </c>
      <c r="E99" s="41">
        <v>130546.74</v>
      </c>
      <c r="F99" s="41">
        <v>106527.31</v>
      </c>
      <c r="G99" s="41">
        <v>128025.42</v>
      </c>
      <c r="H99" s="41">
        <v>122958.48</v>
      </c>
      <c r="I99" s="41">
        <v>114198.44</v>
      </c>
      <c r="J99" s="41">
        <v>119454.16</v>
      </c>
      <c r="K99" s="41">
        <v>116103.31</v>
      </c>
      <c r="L99" s="41">
        <v>99964.71</v>
      </c>
      <c r="M99" s="41">
        <v>89375.93</v>
      </c>
      <c r="N99" s="41"/>
      <c r="O99" s="41"/>
      <c r="P99" s="41"/>
      <c r="Q99" s="41"/>
      <c r="R99" s="41"/>
      <c r="S99" s="116">
        <v>5</v>
      </c>
    </row>
    <row r="100" spans="1:19" x14ac:dyDescent="0.3">
      <c r="A100" s="105" t="s">
        <v>66</v>
      </c>
      <c r="B100" s="41">
        <v>25292.12</v>
      </c>
      <c r="C100" s="41">
        <v>15153.55</v>
      </c>
      <c r="D100" s="41">
        <v>11111</v>
      </c>
      <c r="E100" s="41">
        <v>16866.89</v>
      </c>
      <c r="F100" s="41">
        <v>16402.36</v>
      </c>
      <c r="G100" s="41">
        <v>18721.84</v>
      </c>
      <c r="H100" s="41">
        <v>35560.339999999997</v>
      </c>
      <c r="I100" s="41">
        <v>30818.78</v>
      </c>
      <c r="J100" s="41">
        <v>22823.18</v>
      </c>
      <c r="K100" s="41">
        <v>38639.440000000002</v>
      </c>
      <c r="L100" s="41">
        <v>27953.03</v>
      </c>
      <c r="M100" s="41">
        <v>16785.09</v>
      </c>
      <c r="N100" s="41"/>
      <c r="O100" s="41"/>
      <c r="P100" s="41"/>
      <c r="Q100" s="41"/>
      <c r="R100" s="41"/>
      <c r="S100" s="116">
        <v>5</v>
      </c>
    </row>
    <row r="101" spans="1:19" x14ac:dyDescent="0.3">
      <c r="A101" s="105" t="s">
        <v>67</v>
      </c>
      <c r="B101" s="41">
        <v>26726.19</v>
      </c>
      <c r="C101" s="41">
        <v>42911.17</v>
      </c>
      <c r="D101" s="41">
        <v>41367.9</v>
      </c>
      <c r="E101" s="41">
        <v>47891.28</v>
      </c>
      <c r="F101" s="41">
        <v>54185.15</v>
      </c>
      <c r="G101" s="41">
        <v>47124.46</v>
      </c>
      <c r="H101" s="41">
        <v>39279.440000000002</v>
      </c>
      <c r="I101" s="41">
        <v>38338.26</v>
      </c>
      <c r="J101" s="41">
        <v>34388.230000000003</v>
      </c>
      <c r="K101" s="41">
        <v>52329.2</v>
      </c>
      <c r="L101" s="41">
        <v>39744.65</v>
      </c>
      <c r="M101" s="41">
        <v>42329.760000000002</v>
      </c>
      <c r="N101" s="41"/>
      <c r="O101" s="41"/>
      <c r="P101" s="41"/>
      <c r="Q101" s="41"/>
      <c r="R101" s="41"/>
      <c r="S101" s="116">
        <v>6</v>
      </c>
    </row>
    <row r="102" spans="1:19" x14ac:dyDescent="0.3">
      <c r="A102" s="105" t="s">
        <v>68</v>
      </c>
      <c r="B102" s="41">
        <v>106880.06</v>
      </c>
      <c r="C102" s="41">
        <v>114114.96</v>
      </c>
      <c r="D102" s="41">
        <v>95167.12</v>
      </c>
      <c r="E102" s="41">
        <v>123503.34</v>
      </c>
      <c r="F102" s="41">
        <v>106738.49</v>
      </c>
      <c r="G102" s="41">
        <v>151114.15</v>
      </c>
      <c r="H102" s="41">
        <v>91723.59</v>
      </c>
      <c r="I102" s="41">
        <v>100711.14</v>
      </c>
      <c r="J102" s="41">
        <v>80703.67</v>
      </c>
      <c r="K102" s="41">
        <v>90428.82</v>
      </c>
      <c r="L102" s="41">
        <v>94429.91</v>
      </c>
      <c r="M102" s="41">
        <v>49819.27</v>
      </c>
      <c r="N102" s="41"/>
      <c r="O102" s="41"/>
      <c r="P102" s="41"/>
      <c r="Q102" s="41"/>
      <c r="R102" s="41"/>
      <c r="S102" s="116">
        <v>6</v>
      </c>
    </row>
    <row r="103" spans="1:19" x14ac:dyDescent="0.3">
      <c r="A103" s="63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9" ht="15.6" x14ac:dyDescent="0.3">
      <c r="A104" s="53" t="s">
        <v>80</v>
      </c>
      <c r="B104" s="29">
        <f>+B105+B106+B107+B108+B109</f>
        <v>1148894.43</v>
      </c>
      <c r="C104" s="29">
        <f>+C105+C106+C107+C108+C109</f>
        <v>1021860.2100000001</v>
      </c>
      <c r="D104" s="29">
        <f>+D105+D106+D107+D108+D109</f>
        <v>1396496.6500000001</v>
      </c>
      <c r="E104" s="29">
        <f t="shared" ref="E104:F104" si="73">+E105+E106+E107+E108+E109</f>
        <v>1073702.24</v>
      </c>
      <c r="F104" s="29">
        <f t="shared" si="73"/>
        <v>1373625.6799999997</v>
      </c>
      <c r="G104" s="29">
        <f>SUM(G105:G109)</f>
        <v>1258111.22</v>
      </c>
      <c r="H104" s="29">
        <f>SUM(H105:H109)</f>
        <v>1287696.4699999997</v>
      </c>
      <c r="I104" s="29">
        <f t="shared" ref="I104:M104" si="74">+I105+I106+I107+I108+I109</f>
        <v>1224935.3699999996</v>
      </c>
      <c r="J104" s="29">
        <f t="shared" si="74"/>
        <v>1127681.74</v>
      </c>
      <c r="K104" s="29">
        <f t="shared" si="74"/>
        <v>1248175.03</v>
      </c>
      <c r="L104" s="29">
        <f t="shared" si="74"/>
        <v>1935418.1799999997</v>
      </c>
      <c r="M104" s="29">
        <f t="shared" si="74"/>
        <v>1827403.9299999997</v>
      </c>
      <c r="N104" s="29">
        <f t="shared" ref="N104:N109" si="75">SUM(B104:M104)</f>
        <v>15924001.149999997</v>
      </c>
      <c r="O104" s="29"/>
      <c r="P104" s="29"/>
      <c r="Q104" s="29"/>
      <c r="R104" s="29"/>
    </row>
    <row r="105" spans="1:19" ht="14.25" customHeight="1" x14ac:dyDescent="0.3">
      <c r="A105" s="105" t="s">
        <v>64</v>
      </c>
      <c r="B105" s="41">
        <f>1148894.43-66772.48-19429.13-4435.68</f>
        <v>1058257.1400000001</v>
      </c>
      <c r="C105" s="41">
        <v>924846.8</v>
      </c>
      <c r="D105" s="41">
        <v>1154647.04</v>
      </c>
      <c r="E105" s="41">
        <v>980623.71</v>
      </c>
      <c r="F105" s="41">
        <v>1229860.1599999999</v>
      </c>
      <c r="G105" s="41">
        <v>1146332.46</v>
      </c>
      <c r="H105" s="41">
        <v>1143930.95</v>
      </c>
      <c r="I105" s="41">
        <v>1099033.1399999999</v>
      </c>
      <c r="J105" s="41">
        <v>1026419.5800000001</v>
      </c>
      <c r="K105" s="41">
        <v>989648.22</v>
      </c>
      <c r="L105" s="41">
        <v>1790250.88</v>
      </c>
      <c r="M105" s="41">
        <f>1827403.93-122935.75</f>
        <v>1704468.18</v>
      </c>
      <c r="N105" s="41">
        <f t="shared" si="75"/>
        <v>14248318.260000002</v>
      </c>
      <c r="O105" s="41"/>
      <c r="P105" s="41"/>
      <c r="Q105" s="41"/>
      <c r="R105" s="41"/>
    </row>
    <row r="106" spans="1:19" x14ac:dyDescent="0.3">
      <c r="A106" s="105" t="s">
        <v>65</v>
      </c>
      <c r="B106" s="41">
        <f>41707.85+385.6+24422.45+256.58</f>
        <v>66772.479999999996</v>
      </c>
      <c r="C106" s="41">
        <f>40329.19+5059.6+21770.96+857.44+551.98</f>
        <v>68569.17</v>
      </c>
      <c r="D106" s="41">
        <f>43392.26+408.21+48636.87+1510.89+999.85</f>
        <v>94948.08</v>
      </c>
      <c r="E106" s="41">
        <f>41032.46+367.41+30654.57+364.18</f>
        <v>72418.62</v>
      </c>
      <c r="F106" s="41">
        <f>55581.53+615.25+36436.28+1333.97+175.84</f>
        <v>94142.87</v>
      </c>
      <c r="G106" s="41">
        <f>51561.66+509.42+35706.17+413.76</f>
        <v>88191.01</v>
      </c>
      <c r="H106" s="41">
        <f>55581.53+615.25+36436.28+1333.97+175.84</f>
        <v>94142.87</v>
      </c>
      <c r="I106" s="41">
        <f>57332.31+570.8+36520.26+415.78</f>
        <v>94839.15</v>
      </c>
      <c r="J106" s="41">
        <v>73506.64</v>
      </c>
      <c r="K106" s="41">
        <v>102342.54</v>
      </c>
      <c r="L106" s="41">
        <f>46846.36+419.08+53584.45+660.16</f>
        <v>101510.05</v>
      </c>
      <c r="M106" s="41">
        <f>48755.78+824.14+460.56+52307.48+676.93</f>
        <v>103024.88999999998</v>
      </c>
      <c r="N106" s="41">
        <f t="shared" si="75"/>
        <v>1054408.3700000001</v>
      </c>
      <c r="O106" s="41"/>
      <c r="P106" s="41"/>
      <c r="Q106" s="41"/>
      <c r="R106" s="41"/>
    </row>
    <row r="107" spans="1:19" x14ac:dyDescent="0.3">
      <c r="A107" s="105" t="s">
        <v>66</v>
      </c>
      <c r="B107" s="41">
        <f>10892.55+110.01+8342.3+84.27</f>
        <v>19429.13</v>
      </c>
      <c r="C107" s="41">
        <f>6348.14+64.03+7148.4+72.2</f>
        <v>13632.77</v>
      </c>
      <c r="D107" s="41">
        <f>6165.87+62.18</f>
        <v>6228.05</v>
      </c>
      <c r="E107" s="41">
        <f>13187.77+133.18+829.36+4.4</f>
        <v>14154.710000000001</v>
      </c>
      <c r="F107" s="41">
        <f>2845.07+28.73+4107.52+41.46</f>
        <v>7022.7800000000007</v>
      </c>
      <c r="G107" s="41">
        <f>5142.25+51.97+304.85</f>
        <v>5499.0700000000006</v>
      </c>
      <c r="H107" s="41">
        <f>2845.07+28.73+4107.52+41.46</f>
        <v>7022.7800000000007</v>
      </c>
      <c r="I107" s="41">
        <f>20310.17+205.24+1490.64+22.1</f>
        <v>22028.149999999998</v>
      </c>
      <c r="J107" s="41">
        <v>24642.26</v>
      </c>
      <c r="K107" s="41">
        <v>18766.79</v>
      </c>
      <c r="L107" s="41">
        <f>16408.5+165.68+22138.1+326.84</f>
        <v>39039.119999999995</v>
      </c>
      <c r="M107" s="41">
        <f>9287.76+95.2+8620.81+78.68</f>
        <v>18082.45</v>
      </c>
      <c r="N107" s="41">
        <f t="shared" si="75"/>
        <v>195548.06</v>
      </c>
      <c r="O107" s="41"/>
      <c r="P107" s="41"/>
      <c r="Q107" s="41"/>
      <c r="R107" s="41"/>
    </row>
    <row r="108" spans="1:19" x14ac:dyDescent="0.3">
      <c r="A108" s="105" t="s">
        <v>67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f t="shared" si="75"/>
        <v>0</v>
      </c>
      <c r="O108" s="41"/>
      <c r="P108" s="41"/>
      <c r="Q108" s="41"/>
      <c r="R108" s="41"/>
      <c r="S108" s="116">
        <v>7</v>
      </c>
    </row>
    <row r="109" spans="1:19" x14ac:dyDescent="0.3">
      <c r="A109" s="105" t="s">
        <v>68</v>
      </c>
      <c r="B109" s="41">
        <f>3256.18+27.29+1140.19+12.02</f>
        <v>4435.68</v>
      </c>
      <c r="C109" s="41">
        <f>11184.15+123.97+3472.09+31.26</f>
        <v>14811.47</v>
      </c>
      <c r="D109" s="41">
        <f>2813.27+52.05+136255.24+1552.92</f>
        <v>140673.48000000001</v>
      </c>
      <c r="E109" s="41">
        <f>4186.87+51.4+2253.44+13.49</f>
        <v>6505.1999999999989</v>
      </c>
      <c r="F109" s="41">
        <f>4591.32+43.61+37568.49+396.45</f>
        <v>42599.869999999995</v>
      </c>
      <c r="G109" s="41">
        <f>5133.12+61.17+12750.23+144.16</f>
        <v>18088.68</v>
      </c>
      <c r="H109" s="41">
        <f>4591.32+43.61+37568.49+396.45</f>
        <v>42599.869999999995</v>
      </c>
      <c r="I109" s="41">
        <f>3130.33+32.91+5816.89+54.8</f>
        <v>9034.93</v>
      </c>
      <c r="J109" s="41">
        <v>3113.2599999999998</v>
      </c>
      <c r="K109" s="41">
        <v>137417.48000000001</v>
      </c>
      <c r="L109" s="41">
        <f>3230.77+32.81+1301.96+52.59</f>
        <v>4618.13</v>
      </c>
      <c r="M109" s="41">
        <f>1640.95+17.73+143.34+26.39</f>
        <v>1828.41</v>
      </c>
      <c r="N109" s="41">
        <f t="shared" si="75"/>
        <v>425726.46</v>
      </c>
      <c r="O109" s="41"/>
      <c r="P109" s="41"/>
      <c r="Q109" s="41"/>
      <c r="R109" s="41"/>
      <c r="S109" s="116">
        <v>7</v>
      </c>
    </row>
    <row r="110" spans="1:19" x14ac:dyDescent="0.3">
      <c r="A110" s="65"/>
      <c r="B110" s="42"/>
      <c r="C110" s="42"/>
      <c r="D110" s="42"/>
      <c r="E110" s="42"/>
      <c r="F110" s="42"/>
      <c r="G110" s="42"/>
      <c r="H110" s="42"/>
      <c r="I110" s="42"/>
      <c r="J110" s="42"/>
      <c r="K110" s="19"/>
      <c r="L110" s="42"/>
      <c r="M110" s="42"/>
      <c r="N110" s="42"/>
      <c r="O110" s="42"/>
      <c r="P110" s="42"/>
      <c r="Q110" s="42"/>
      <c r="R110" s="42"/>
    </row>
    <row r="111" spans="1:19" x14ac:dyDescent="0.3">
      <c r="A111" s="105" t="s">
        <v>156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7</v>
      </c>
      <c r="H111" s="41">
        <v>7</v>
      </c>
      <c r="I111" s="41">
        <v>5</v>
      </c>
      <c r="J111" s="41">
        <v>46</v>
      </c>
      <c r="K111" s="41">
        <v>68</v>
      </c>
      <c r="L111" s="41">
        <v>171</v>
      </c>
      <c r="M111" s="41">
        <v>21</v>
      </c>
      <c r="N111" s="41"/>
      <c r="O111" s="41"/>
      <c r="P111" s="41"/>
      <c r="Q111" s="41"/>
      <c r="R111" s="41"/>
      <c r="S111" s="116">
        <v>10</v>
      </c>
    </row>
    <row r="112" spans="1:19" x14ac:dyDescent="0.3">
      <c r="A112" s="105" t="s">
        <v>81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  <c r="G112" s="41">
        <v>1</v>
      </c>
      <c r="H112" s="41">
        <v>2</v>
      </c>
      <c r="I112" s="41">
        <v>4</v>
      </c>
      <c r="J112" s="41">
        <v>40</v>
      </c>
      <c r="K112" s="41">
        <v>60</v>
      </c>
      <c r="L112" s="41">
        <v>153</v>
      </c>
      <c r="M112" s="41">
        <v>8</v>
      </c>
      <c r="N112" s="41"/>
      <c r="O112" s="41"/>
      <c r="P112" s="41"/>
      <c r="Q112" s="41"/>
      <c r="R112" s="41"/>
      <c r="S112" s="116">
        <v>11</v>
      </c>
    </row>
    <row r="113" spans="1:19" x14ac:dyDescent="0.3">
      <c r="A113" s="105" t="s">
        <v>82</v>
      </c>
      <c r="B113" s="41">
        <v>7098.29</v>
      </c>
      <c r="C113" s="41">
        <v>2536.1</v>
      </c>
      <c r="D113" s="41">
        <v>7057.76</v>
      </c>
      <c r="E113" s="41">
        <v>5384.48</v>
      </c>
      <c r="F113" s="41">
        <v>9244.66</v>
      </c>
      <c r="G113" s="41">
        <v>4900.57</v>
      </c>
      <c r="H113" s="41">
        <v>4403.97</v>
      </c>
      <c r="I113" s="41">
        <v>831.03</v>
      </c>
      <c r="J113" s="41">
        <v>4517.62</v>
      </c>
      <c r="K113" s="41">
        <v>6698.71</v>
      </c>
      <c r="L113" s="41">
        <v>16100.45</v>
      </c>
      <c r="M113" s="41">
        <v>10803.76</v>
      </c>
      <c r="N113" s="41"/>
      <c r="O113" s="41"/>
      <c r="P113" s="41"/>
      <c r="Q113" s="41"/>
      <c r="R113" s="41"/>
      <c r="S113" s="116">
        <v>12</v>
      </c>
    </row>
    <row r="114" spans="1:19" x14ac:dyDescent="0.3">
      <c r="A114" s="66" t="s">
        <v>83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19"/>
      <c r="L114" s="67"/>
      <c r="M114" s="67"/>
      <c r="N114" s="67"/>
      <c r="O114" s="67"/>
      <c r="P114" s="67"/>
      <c r="Q114" s="67"/>
      <c r="R114" s="67"/>
    </row>
    <row r="115" spans="1:19" x14ac:dyDescent="0.3">
      <c r="A115" s="36" t="s">
        <v>84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9" ht="15.6" x14ac:dyDescent="0.3">
      <c r="A116" s="26" t="s">
        <v>85</v>
      </c>
      <c r="B116" s="68">
        <f>+B117+B123</f>
        <v>9522</v>
      </c>
      <c r="C116" s="68">
        <f>+C117+C123</f>
        <v>9537</v>
      </c>
      <c r="D116" s="68">
        <f>+D117+D123</f>
        <v>9541</v>
      </c>
      <c r="E116" s="68">
        <f>+E117+E123</f>
        <v>9555</v>
      </c>
      <c r="F116" s="68">
        <f>F117+F123</f>
        <v>9563</v>
      </c>
      <c r="G116" s="68">
        <f>G117+G123</f>
        <v>9559</v>
      </c>
      <c r="H116" s="68">
        <f>H117+H123</f>
        <v>9581</v>
      </c>
      <c r="I116" s="68">
        <f>I117+I123</f>
        <v>9601</v>
      </c>
      <c r="J116" s="68">
        <f>J117+J123</f>
        <v>9642</v>
      </c>
      <c r="K116" s="68">
        <f t="shared" ref="K116:M116" si="76">K117+K123</f>
        <v>9655</v>
      </c>
      <c r="L116" s="68">
        <f t="shared" si="76"/>
        <v>9673</v>
      </c>
      <c r="M116" s="68">
        <f t="shared" si="76"/>
        <v>9676</v>
      </c>
      <c r="N116" s="68"/>
      <c r="O116" s="68"/>
      <c r="P116" s="68"/>
      <c r="Q116" s="68"/>
      <c r="R116" s="68"/>
      <c r="S116" s="116">
        <v>14</v>
      </c>
    </row>
    <row r="117" spans="1:19" x14ac:dyDescent="0.3">
      <c r="A117" s="69" t="s">
        <v>86</v>
      </c>
      <c r="B117" s="70">
        <f>+B118+B119+B120+B121+B122</f>
        <v>9498</v>
      </c>
      <c r="C117" s="70">
        <f t="shared" ref="C117:M117" si="77">+C118+C119+C120+C121+C122</f>
        <v>9513</v>
      </c>
      <c r="D117" s="70">
        <f t="shared" si="77"/>
        <v>9517</v>
      </c>
      <c r="E117" s="70">
        <f t="shared" si="77"/>
        <v>9552</v>
      </c>
      <c r="F117" s="70">
        <f t="shared" si="77"/>
        <v>9560</v>
      </c>
      <c r="G117" s="70">
        <f t="shared" si="77"/>
        <v>9556</v>
      </c>
      <c r="H117" s="70">
        <f t="shared" si="77"/>
        <v>9580</v>
      </c>
      <c r="I117" s="70">
        <f t="shared" si="77"/>
        <v>9600</v>
      </c>
      <c r="J117" s="70">
        <f t="shared" si="77"/>
        <v>9639</v>
      </c>
      <c r="K117" s="70">
        <f t="shared" si="77"/>
        <v>9652</v>
      </c>
      <c r="L117" s="70">
        <f t="shared" si="77"/>
        <v>9670</v>
      </c>
      <c r="M117" s="70">
        <f t="shared" si="77"/>
        <v>9676</v>
      </c>
      <c r="N117" s="70"/>
      <c r="O117" s="70"/>
      <c r="P117" s="70"/>
      <c r="Q117" s="70"/>
      <c r="R117" s="70"/>
    </row>
    <row r="118" spans="1:19" x14ac:dyDescent="0.3">
      <c r="A118" s="104" t="s">
        <v>87</v>
      </c>
      <c r="B118" s="49">
        <v>9072</v>
      </c>
      <c r="C118" s="49">
        <v>9085</v>
      </c>
      <c r="D118" s="49">
        <v>9089</v>
      </c>
      <c r="E118" s="49">
        <v>9127</v>
      </c>
      <c r="F118" s="49">
        <v>9135</v>
      </c>
      <c r="G118" s="49">
        <v>9131</v>
      </c>
      <c r="H118" s="49">
        <v>9152</v>
      </c>
      <c r="I118" s="49">
        <v>9171</v>
      </c>
      <c r="J118" s="49">
        <v>9211</v>
      </c>
      <c r="K118" s="49">
        <v>9225</v>
      </c>
      <c r="L118" s="49">
        <v>9243</v>
      </c>
      <c r="M118" s="49">
        <v>9247</v>
      </c>
      <c r="N118" s="49"/>
      <c r="O118" s="49"/>
      <c r="P118" s="49"/>
      <c r="Q118" s="49"/>
      <c r="R118" s="49"/>
    </row>
    <row r="119" spans="1:19" x14ac:dyDescent="0.3">
      <c r="A119" s="104" t="s">
        <v>88</v>
      </c>
      <c r="B119" s="49">
        <v>268</v>
      </c>
      <c r="C119" s="49">
        <v>270</v>
      </c>
      <c r="D119" s="49">
        <v>270</v>
      </c>
      <c r="E119" s="49">
        <v>270</v>
      </c>
      <c r="F119" s="49">
        <v>269</v>
      </c>
      <c r="G119" s="49">
        <v>269</v>
      </c>
      <c r="H119" s="49">
        <v>270</v>
      </c>
      <c r="I119" s="49">
        <v>271</v>
      </c>
      <c r="J119" s="49">
        <v>270</v>
      </c>
      <c r="K119" s="49">
        <v>269</v>
      </c>
      <c r="L119" s="49">
        <v>269</v>
      </c>
      <c r="M119" s="49">
        <v>269</v>
      </c>
      <c r="N119" s="49"/>
      <c r="O119" s="49"/>
      <c r="P119" s="49"/>
      <c r="Q119" s="49"/>
      <c r="R119" s="49"/>
    </row>
    <row r="120" spans="1:19" x14ac:dyDescent="0.3">
      <c r="A120" s="104" t="s">
        <v>89</v>
      </c>
      <c r="B120" s="49">
        <v>9</v>
      </c>
      <c r="C120" s="49">
        <v>9</v>
      </c>
      <c r="D120" s="49">
        <v>9</v>
      </c>
      <c r="E120" s="49">
        <v>9</v>
      </c>
      <c r="F120" s="49">
        <v>10</v>
      </c>
      <c r="G120" s="49">
        <v>10</v>
      </c>
      <c r="H120" s="49">
        <v>12</v>
      </c>
      <c r="I120" s="49">
        <v>12</v>
      </c>
      <c r="J120" s="49">
        <v>12</v>
      </c>
      <c r="K120" s="49">
        <v>12</v>
      </c>
      <c r="L120" s="49">
        <v>12</v>
      </c>
      <c r="M120" s="49">
        <v>12</v>
      </c>
      <c r="N120" s="49"/>
      <c r="O120" s="49"/>
      <c r="P120" s="49"/>
      <c r="Q120" s="49"/>
      <c r="R120" s="49"/>
    </row>
    <row r="121" spans="1:19" x14ac:dyDescent="0.3">
      <c r="A121" s="104" t="s">
        <v>90</v>
      </c>
      <c r="B121" s="49">
        <v>50</v>
      </c>
      <c r="C121" s="49">
        <v>50</v>
      </c>
      <c r="D121" s="49">
        <v>50</v>
      </c>
      <c r="E121" s="49">
        <v>50</v>
      </c>
      <c r="F121" s="49">
        <v>50</v>
      </c>
      <c r="G121" s="49">
        <v>50</v>
      </c>
      <c r="H121" s="49">
        <v>50</v>
      </c>
      <c r="I121" s="49">
        <v>50</v>
      </c>
      <c r="J121" s="49">
        <v>50</v>
      </c>
      <c r="K121" s="49">
        <v>50</v>
      </c>
      <c r="L121" s="49">
        <v>50</v>
      </c>
      <c r="M121" s="49">
        <v>50</v>
      </c>
      <c r="N121" s="49"/>
      <c r="O121" s="49"/>
      <c r="P121" s="49"/>
      <c r="Q121" s="49"/>
      <c r="R121" s="49"/>
    </row>
    <row r="122" spans="1:19" x14ac:dyDescent="0.3">
      <c r="A122" s="104" t="s">
        <v>91</v>
      </c>
      <c r="B122" s="49">
        <v>99</v>
      </c>
      <c r="C122" s="49">
        <v>99</v>
      </c>
      <c r="D122" s="49">
        <v>99</v>
      </c>
      <c r="E122" s="49">
        <v>96</v>
      </c>
      <c r="F122" s="49">
        <v>96</v>
      </c>
      <c r="G122" s="49">
        <v>96</v>
      </c>
      <c r="H122" s="49">
        <v>96</v>
      </c>
      <c r="I122" s="49">
        <v>96</v>
      </c>
      <c r="J122" s="49">
        <v>96</v>
      </c>
      <c r="K122" s="49">
        <v>96</v>
      </c>
      <c r="L122" s="49">
        <v>96</v>
      </c>
      <c r="M122" s="49">
        <v>98</v>
      </c>
      <c r="N122" s="49"/>
      <c r="O122" s="49"/>
      <c r="P122" s="49"/>
      <c r="Q122" s="49"/>
      <c r="R122" s="49"/>
    </row>
    <row r="123" spans="1:19" x14ac:dyDescent="0.3">
      <c r="A123" s="69" t="s">
        <v>92</v>
      </c>
      <c r="B123" s="70">
        <f>+B124+B125+B126+B127+B128</f>
        <v>24</v>
      </c>
      <c r="C123" s="70">
        <f t="shared" ref="C123:M123" si="78">+C124+C125+C126+C127+C128</f>
        <v>24</v>
      </c>
      <c r="D123" s="70">
        <f t="shared" si="78"/>
        <v>24</v>
      </c>
      <c r="E123" s="70">
        <f t="shared" si="78"/>
        <v>3</v>
      </c>
      <c r="F123" s="70">
        <f t="shared" si="78"/>
        <v>3</v>
      </c>
      <c r="G123" s="70">
        <f t="shared" si="78"/>
        <v>3</v>
      </c>
      <c r="H123" s="70">
        <f t="shared" si="78"/>
        <v>1</v>
      </c>
      <c r="I123" s="70">
        <f t="shared" si="78"/>
        <v>1</v>
      </c>
      <c r="J123" s="70">
        <f t="shared" si="78"/>
        <v>3</v>
      </c>
      <c r="K123" s="70">
        <f t="shared" si="78"/>
        <v>3</v>
      </c>
      <c r="L123" s="70">
        <f t="shared" si="78"/>
        <v>3</v>
      </c>
      <c r="M123" s="70">
        <f t="shared" si="78"/>
        <v>0</v>
      </c>
      <c r="N123" s="70"/>
      <c r="O123" s="70"/>
      <c r="P123" s="70"/>
      <c r="Q123" s="70"/>
      <c r="R123" s="70"/>
    </row>
    <row r="124" spans="1:19" x14ac:dyDescent="0.3">
      <c r="A124" s="104" t="s">
        <v>87</v>
      </c>
      <c r="B124" s="49">
        <v>0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/>
      <c r="O124" s="49"/>
      <c r="P124" s="49"/>
      <c r="Q124" s="49"/>
      <c r="R124" s="49"/>
    </row>
    <row r="125" spans="1:19" ht="15" x14ac:dyDescent="0.3">
      <c r="A125" s="106" t="s">
        <v>88</v>
      </c>
      <c r="B125" s="49">
        <v>16</v>
      </c>
      <c r="C125" s="49">
        <v>16</v>
      </c>
      <c r="D125" s="49">
        <v>16</v>
      </c>
      <c r="E125" s="49">
        <v>3</v>
      </c>
      <c r="F125" s="49">
        <v>3</v>
      </c>
      <c r="G125" s="49">
        <v>3</v>
      </c>
      <c r="H125" s="49">
        <v>1</v>
      </c>
      <c r="I125" s="49">
        <v>1</v>
      </c>
      <c r="J125" s="49">
        <v>3</v>
      </c>
      <c r="K125" s="49">
        <v>3</v>
      </c>
      <c r="L125" s="49">
        <v>3</v>
      </c>
      <c r="M125" s="49">
        <v>0</v>
      </c>
      <c r="N125" s="49"/>
      <c r="O125" s="49"/>
      <c r="P125" s="49"/>
      <c r="Q125" s="49"/>
      <c r="R125" s="49"/>
    </row>
    <row r="126" spans="1:19" x14ac:dyDescent="0.3">
      <c r="A126" s="104" t="s">
        <v>89</v>
      </c>
      <c r="B126" s="49">
        <v>0</v>
      </c>
      <c r="C126" s="49">
        <v>0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/>
      <c r="O126" s="49"/>
      <c r="P126" s="49"/>
      <c r="Q126" s="49"/>
      <c r="R126" s="49"/>
    </row>
    <row r="127" spans="1:19" x14ac:dyDescent="0.3">
      <c r="A127" s="104" t="s">
        <v>90</v>
      </c>
      <c r="B127" s="49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/>
      <c r="O127" s="49"/>
      <c r="P127" s="49"/>
      <c r="Q127" s="49"/>
      <c r="R127" s="49"/>
    </row>
    <row r="128" spans="1:19" x14ac:dyDescent="0.3">
      <c r="A128" s="104" t="s">
        <v>91</v>
      </c>
      <c r="B128" s="49">
        <v>8</v>
      </c>
      <c r="C128" s="49">
        <v>8</v>
      </c>
      <c r="D128" s="49">
        <v>8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/>
      <c r="O128" s="49"/>
      <c r="P128" s="49"/>
      <c r="Q128" s="49"/>
      <c r="R128" s="49"/>
    </row>
    <row r="129" spans="1:18" ht="23.25" customHeight="1" x14ac:dyDescent="0.3">
      <c r="A129" s="109" t="s">
        <v>93</v>
      </c>
      <c r="B129" s="110">
        <v>523</v>
      </c>
      <c r="C129" s="110">
        <v>526</v>
      </c>
      <c r="D129" s="110">
        <v>526</v>
      </c>
      <c r="E129" s="110">
        <v>558</v>
      </c>
      <c r="F129" s="110">
        <v>561</v>
      </c>
      <c r="G129" s="110">
        <v>561</v>
      </c>
      <c r="H129" s="110">
        <v>564</v>
      </c>
      <c r="I129" s="110">
        <v>563</v>
      </c>
      <c r="J129" s="110">
        <v>564</v>
      </c>
      <c r="K129" s="110">
        <v>570</v>
      </c>
      <c r="L129" s="110">
        <v>567</v>
      </c>
      <c r="M129" s="110">
        <v>575</v>
      </c>
      <c r="N129" s="110"/>
      <c r="O129" s="49"/>
      <c r="P129" s="49"/>
      <c r="Q129" s="49"/>
      <c r="R129" s="49"/>
    </row>
    <row r="130" spans="1:18" ht="15.75" customHeight="1" x14ac:dyDescent="0.3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</row>
    <row r="131" spans="1:18" ht="19.5" customHeight="1" x14ac:dyDescent="0.3">
      <c r="A131" s="111" t="s">
        <v>94</v>
      </c>
      <c r="B131" s="73">
        <v>9210</v>
      </c>
      <c r="C131" s="73">
        <v>9245</v>
      </c>
      <c r="D131" s="73">
        <v>9245</v>
      </c>
      <c r="E131" s="73">
        <f>9854-558</f>
        <v>9296</v>
      </c>
      <c r="F131" s="73">
        <f>9856-561</f>
        <v>9295</v>
      </c>
      <c r="G131" s="73">
        <f>9852-561</f>
        <v>9291</v>
      </c>
      <c r="H131" s="73">
        <f>9877-564</f>
        <v>9313</v>
      </c>
      <c r="I131" s="73">
        <f>9896-563</f>
        <v>9333</v>
      </c>
      <c r="J131" s="73">
        <f>9938-564</f>
        <v>9374</v>
      </c>
      <c r="K131" s="73">
        <f>9957-570</f>
        <v>9387</v>
      </c>
      <c r="L131" s="73">
        <f>9972-570</f>
        <v>9402</v>
      </c>
      <c r="M131" s="73">
        <f>9983-575</f>
        <v>9408</v>
      </c>
      <c r="N131" s="73"/>
      <c r="O131" s="73"/>
      <c r="P131" s="73"/>
      <c r="Q131" s="73"/>
      <c r="R131" s="73"/>
    </row>
    <row r="132" spans="1:18" s="119" customFormat="1" ht="19.5" customHeight="1" x14ac:dyDescent="0.3">
      <c r="A132" s="53" t="s">
        <v>158</v>
      </c>
      <c r="B132" s="123">
        <f>+B131/B116</f>
        <v>0.9672337744171392</v>
      </c>
      <c r="C132" s="123">
        <f t="shared" ref="C132:M132" si="79">+C131/C116</f>
        <v>0.96938240536856457</v>
      </c>
      <c r="D132" s="123">
        <f t="shared" si="79"/>
        <v>0.96897599832302694</v>
      </c>
      <c r="E132" s="123">
        <f t="shared" si="79"/>
        <v>0.97289377289377288</v>
      </c>
      <c r="F132" s="123">
        <f t="shared" si="79"/>
        <v>0.97197532155181432</v>
      </c>
      <c r="G132" s="123">
        <f t="shared" si="79"/>
        <v>0.97196359451825509</v>
      </c>
      <c r="H132" s="123">
        <f t="shared" si="79"/>
        <v>0.97202797202797198</v>
      </c>
      <c r="I132" s="123">
        <f t="shared" si="79"/>
        <v>0.97208624101656083</v>
      </c>
      <c r="J132" s="123">
        <f t="shared" si="79"/>
        <v>0.97220493673511721</v>
      </c>
      <c r="K132" s="123">
        <f t="shared" si="79"/>
        <v>0.9722423614707405</v>
      </c>
      <c r="L132" s="123">
        <f t="shared" si="79"/>
        <v>0.97198387263517005</v>
      </c>
      <c r="M132" s="123">
        <f t="shared" si="79"/>
        <v>0.97230260438197602</v>
      </c>
      <c r="N132" s="73"/>
      <c r="O132" s="73"/>
      <c r="P132" s="73"/>
      <c r="Q132" s="73"/>
      <c r="R132" s="73"/>
    </row>
    <row r="133" spans="1:18" ht="19.5" customHeight="1" x14ac:dyDescent="0.3">
      <c r="A133" s="74"/>
      <c r="B133" s="75"/>
      <c r="C133" s="75"/>
      <c r="D133" s="102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</row>
    <row r="134" spans="1:18" ht="15" customHeight="1" x14ac:dyDescent="0.3">
      <c r="A134" s="36" t="s">
        <v>95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ht="15.6" x14ac:dyDescent="0.3">
      <c r="A135" s="26" t="s">
        <v>96</v>
      </c>
      <c r="B135" s="27">
        <f>+B136+B140+B141</f>
        <v>42063697.479999997</v>
      </c>
      <c r="C135" s="27">
        <f>+C136+C140+C141</f>
        <v>42565138.100000001</v>
      </c>
      <c r="D135" s="27">
        <f t="shared" ref="D135:G135" si="80">+D136+D140+D141</f>
        <v>42886904.700000003</v>
      </c>
      <c r="E135" s="27">
        <f t="shared" si="80"/>
        <v>44338346.270000003</v>
      </c>
      <c r="F135" s="27">
        <f t="shared" si="80"/>
        <v>44462175.849999994</v>
      </c>
      <c r="G135" s="27">
        <f t="shared" si="80"/>
        <v>44567725.229999997</v>
      </c>
      <c r="H135" s="27">
        <f>+H136+H140+H141</f>
        <v>45195174.410000004</v>
      </c>
      <c r="I135" s="27">
        <f>+I136+I140+I141</f>
        <v>45726041.710000001</v>
      </c>
      <c r="J135" s="27">
        <f>+J136+J140+J141</f>
        <v>46337875.460000008</v>
      </c>
      <c r="K135" s="27">
        <f t="shared" ref="K135:M135" si="81">+K136+K140+K141</f>
        <v>46896782.060000002</v>
      </c>
      <c r="L135" s="27">
        <f t="shared" si="81"/>
        <v>46805590.449999996</v>
      </c>
      <c r="M135" s="27">
        <f t="shared" si="81"/>
        <v>44044394.319999993</v>
      </c>
      <c r="N135" s="27"/>
      <c r="O135" s="27"/>
      <c r="P135" s="27"/>
      <c r="Q135" s="27"/>
      <c r="R135" s="27"/>
    </row>
    <row r="136" spans="1:18" x14ac:dyDescent="0.3">
      <c r="A136" s="69" t="s">
        <v>97</v>
      </c>
      <c r="B136" s="29">
        <f>+B137+B138+B139</f>
        <v>31803715.120000001</v>
      </c>
      <c r="C136" s="29">
        <f>+C137+C138+C139</f>
        <v>32216398.050000004</v>
      </c>
      <c r="D136" s="29">
        <f t="shared" ref="D136:J136" si="82">+D137+D138+D139</f>
        <v>32512111.850000001</v>
      </c>
      <c r="E136" s="29">
        <f t="shared" si="82"/>
        <v>33594846.539999999</v>
      </c>
      <c r="F136" s="29">
        <f t="shared" si="82"/>
        <v>33699073.379999995</v>
      </c>
      <c r="G136" s="29">
        <f t="shared" si="82"/>
        <v>33804622.759999998</v>
      </c>
      <c r="H136" s="29">
        <f t="shared" si="82"/>
        <v>34241680.580000006</v>
      </c>
      <c r="I136" s="29">
        <f t="shared" si="82"/>
        <v>34838528.940000005</v>
      </c>
      <c r="J136" s="29">
        <f t="shared" si="82"/>
        <v>35312615.570000008</v>
      </c>
      <c r="K136" s="29">
        <f t="shared" ref="K136:M136" si="83">+K137+K138+K139</f>
        <v>35885469.800000004</v>
      </c>
      <c r="L136" s="29">
        <f t="shared" si="83"/>
        <v>35657045.5</v>
      </c>
      <c r="M136" s="29">
        <f t="shared" si="83"/>
        <v>32787824.349999998</v>
      </c>
      <c r="N136" s="29">
        <f t="shared" ref="N136:R136" si="84">N137+N141+N142</f>
        <v>0</v>
      </c>
      <c r="O136" s="29">
        <f t="shared" si="84"/>
        <v>0</v>
      </c>
      <c r="P136" s="29">
        <f t="shared" si="84"/>
        <v>0</v>
      </c>
      <c r="Q136" s="29">
        <f t="shared" si="84"/>
        <v>0</v>
      </c>
      <c r="R136" s="29">
        <f t="shared" si="84"/>
        <v>0</v>
      </c>
    </row>
    <row r="137" spans="1:18" x14ac:dyDescent="0.3">
      <c r="A137" s="104" t="s">
        <v>87</v>
      </c>
      <c r="B137" s="41">
        <v>30512949.170000002</v>
      </c>
      <c r="C137" s="41">
        <v>30851175.120000001</v>
      </c>
      <c r="D137" s="41">
        <v>31154649.640000001</v>
      </c>
      <c r="E137" s="41">
        <v>32187919.789999999</v>
      </c>
      <c r="F137" s="41">
        <v>32305781.399999999</v>
      </c>
      <c r="G137" s="41">
        <v>32393768.48</v>
      </c>
      <c r="H137" s="41">
        <v>32857750.449999999</v>
      </c>
      <c r="I137" s="41">
        <v>33435844.600000001</v>
      </c>
      <c r="J137" s="41">
        <v>33889333.090000004</v>
      </c>
      <c r="K137" s="41">
        <v>34463477.810000002</v>
      </c>
      <c r="L137" s="41">
        <v>34237618.729999997</v>
      </c>
      <c r="M137" s="41">
        <v>31373229.809999999</v>
      </c>
      <c r="N137" s="41">
        <f t="shared" ref="N137:R137" si="85">N138+N139+N140</f>
        <v>0</v>
      </c>
      <c r="O137" s="41">
        <f t="shared" si="85"/>
        <v>0</v>
      </c>
      <c r="P137" s="41">
        <f t="shared" si="85"/>
        <v>0</v>
      </c>
      <c r="Q137" s="41">
        <f t="shared" si="85"/>
        <v>0</v>
      </c>
      <c r="R137" s="41">
        <f t="shared" si="85"/>
        <v>0</v>
      </c>
    </row>
    <row r="138" spans="1:18" x14ac:dyDescent="0.3">
      <c r="A138" s="104" t="s">
        <v>88</v>
      </c>
      <c r="B138" s="41">
        <v>893849.82</v>
      </c>
      <c r="C138" s="41">
        <v>961300.67</v>
      </c>
      <c r="D138" s="41">
        <v>949003.25</v>
      </c>
      <c r="E138" s="41">
        <v>984998.6</v>
      </c>
      <c r="F138" s="41">
        <v>964117.18</v>
      </c>
      <c r="G138" s="41">
        <v>981232.74</v>
      </c>
      <c r="H138" s="41">
        <v>957724.68</v>
      </c>
      <c r="I138" s="41">
        <v>959501.17</v>
      </c>
      <c r="J138" s="41">
        <v>980616.63</v>
      </c>
      <c r="K138" s="41">
        <v>973655.99</v>
      </c>
      <c r="L138" s="41">
        <v>969525.7</v>
      </c>
      <c r="M138" s="41">
        <v>959951.11</v>
      </c>
      <c r="N138" s="41"/>
      <c r="O138" s="41"/>
      <c r="P138" s="41"/>
      <c r="Q138" s="41"/>
      <c r="R138" s="41"/>
    </row>
    <row r="139" spans="1:18" x14ac:dyDescent="0.3">
      <c r="A139" s="104" t="s">
        <v>89</v>
      </c>
      <c r="B139" s="41">
        <v>396916.13</v>
      </c>
      <c r="C139" s="41">
        <v>403922.26</v>
      </c>
      <c r="D139" s="41">
        <v>408458.96</v>
      </c>
      <c r="E139" s="41">
        <v>421928.15</v>
      </c>
      <c r="F139" s="41">
        <v>429174.8</v>
      </c>
      <c r="G139" s="41">
        <v>429621.54</v>
      </c>
      <c r="H139" s="41">
        <v>426205.45</v>
      </c>
      <c r="I139" s="41">
        <v>443183.17</v>
      </c>
      <c r="J139" s="41">
        <v>442665.85</v>
      </c>
      <c r="K139" s="41">
        <v>448336</v>
      </c>
      <c r="L139" s="41">
        <v>449901.07</v>
      </c>
      <c r="M139" s="41">
        <v>454643.43</v>
      </c>
      <c r="N139" s="41"/>
      <c r="O139" s="41"/>
      <c r="P139" s="41"/>
      <c r="Q139" s="41"/>
      <c r="R139" s="41"/>
    </row>
    <row r="140" spans="1:18" x14ac:dyDescent="0.3">
      <c r="A140" s="105" t="s">
        <v>98</v>
      </c>
      <c r="B140" s="41">
        <v>9830702.6300000008</v>
      </c>
      <c r="C140" s="41">
        <v>9857428.8200000003</v>
      </c>
      <c r="D140" s="41">
        <v>9900339.9900000002</v>
      </c>
      <c r="E140" s="41">
        <v>10030672.029999999</v>
      </c>
      <c r="F140" s="41">
        <v>10043784.32</v>
      </c>
      <c r="G140" s="41">
        <v>10043784.32</v>
      </c>
      <c r="H140" s="41">
        <v>10090908.779999999</v>
      </c>
      <c r="I140" s="41">
        <v>10130188.220000001</v>
      </c>
      <c r="J140" s="41">
        <v>10168526.48</v>
      </c>
      <c r="K140" s="41">
        <v>10202914.710000001</v>
      </c>
      <c r="L140" s="41">
        <v>10278455.4</v>
      </c>
      <c r="M140" s="41">
        <v>10323609.810000001</v>
      </c>
      <c r="N140" s="41"/>
      <c r="O140" s="41"/>
      <c r="P140" s="41"/>
      <c r="Q140" s="41"/>
      <c r="R140" s="41"/>
    </row>
    <row r="141" spans="1:18" x14ac:dyDescent="0.3">
      <c r="A141" s="105" t="s">
        <v>99</v>
      </c>
      <c r="B141" s="41">
        <v>429279.73</v>
      </c>
      <c r="C141" s="41">
        <v>491311.23</v>
      </c>
      <c r="D141" s="41">
        <v>474452.86</v>
      </c>
      <c r="E141" s="41">
        <v>712827.7</v>
      </c>
      <c r="F141" s="41">
        <v>719318.15</v>
      </c>
      <c r="G141" s="41">
        <v>719318.15</v>
      </c>
      <c r="H141" s="41">
        <v>862585.05</v>
      </c>
      <c r="I141" s="41">
        <v>757324.55</v>
      </c>
      <c r="J141" s="41">
        <v>856733.41</v>
      </c>
      <c r="K141" s="41">
        <v>808397.55</v>
      </c>
      <c r="L141" s="41">
        <v>870089.55</v>
      </c>
      <c r="M141" s="41">
        <v>932960.16</v>
      </c>
      <c r="N141" s="41"/>
      <c r="O141" s="41"/>
      <c r="P141" s="41"/>
      <c r="Q141" s="41"/>
      <c r="R141" s="41"/>
    </row>
    <row r="142" spans="1:18" x14ac:dyDescent="0.3">
      <c r="A142" s="23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x14ac:dyDescent="0.3">
      <c r="A143" s="69" t="s">
        <v>100</v>
      </c>
      <c r="B143" s="70">
        <f t="shared" ref="B143:F143" si="86">+B144+B145+B146+B147</f>
        <v>1980</v>
      </c>
      <c r="C143" s="70">
        <f t="shared" si="86"/>
        <v>2096</v>
      </c>
      <c r="D143" s="70">
        <f t="shared" si="86"/>
        <v>2094</v>
      </c>
      <c r="E143" s="70">
        <f t="shared" si="86"/>
        <v>2254</v>
      </c>
      <c r="F143" s="70">
        <f t="shared" si="86"/>
        <v>1999</v>
      </c>
      <c r="G143" s="70">
        <f>SUM(G144:G147)</f>
        <v>2063</v>
      </c>
      <c r="H143" s="70">
        <f>SUM(H144:H147)</f>
        <v>2076</v>
      </c>
      <c r="I143" s="70">
        <f>SUM(I144:I147)</f>
        <v>2120</v>
      </c>
      <c r="J143" s="70">
        <f>SUM(J144:J147)</f>
        <v>2096</v>
      </c>
      <c r="K143" s="70">
        <f t="shared" ref="K143:M143" si="87">SUM(K144:K147)</f>
        <v>2162</v>
      </c>
      <c r="L143" s="70">
        <f t="shared" si="87"/>
        <v>2318</v>
      </c>
      <c r="M143" s="70">
        <f t="shared" si="87"/>
        <v>1903</v>
      </c>
      <c r="N143" s="29"/>
      <c r="O143" s="29"/>
      <c r="P143" s="29"/>
      <c r="Q143" s="29"/>
      <c r="R143" s="29"/>
    </row>
    <row r="144" spans="1:18" ht="14.25" customHeight="1" x14ac:dyDescent="0.3">
      <c r="A144" s="105" t="s">
        <v>101</v>
      </c>
      <c r="B144" s="49">
        <v>959</v>
      </c>
      <c r="C144" s="49">
        <v>1064</v>
      </c>
      <c r="D144" s="49">
        <v>1134</v>
      </c>
      <c r="E144" s="49">
        <v>1368</v>
      </c>
      <c r="F144" s="49">
        <v>1056</v>
      </c>
      <c r="G144" s="49">
        <v>1023</v>
      </c>
      <c r="H144" s="49">
        <v>1012</v>
      </c>
      <c r="I144" s="49">
        <v>1071</v>
      </c>
      <c r="J144" s="49">
        <v>1024</v>
      </c>
      <c r="K144" s="49">
        <v>1062</v>
      </c>
      <c r="L144" s="49">
        <v>1325</v>
      </c>
      <c r="M144" s="49">
        <v>1153</v>
      </c>
      <c r="N144" s="49"/>
      <c r="O144" s="49"/>
      <c r="P144" s="49"/>
      <c r="Q144" s="49"/>
      <c r="R144" s="49"/>
    </row>
    <row r="145" spans="1:18" ht="15" customHeight="1" x14ac:dyDescent="0.3">
      <c r="A145" s="105" t="s">
        <v>102</v>
      </c>
      <c r="B145" s="49">
        <v>276</v>
      </c>
      <c r="C145" s="49">
        <v>280</v>
      </c>
      <c r="D145" s="49">
        <v>261</v>
      </c>
      <c r="E145" s="49">
        <v>240</v>
      </c>
      <c r="F145" s="49">
        <v>294</v>
      </c>
      <c r="G145" s="49">
        <v>343</v>
      </c>
      <c r="H145" s="49">
        <v>314</v>
      </c>
      <c r="I145" s="49">
        <v>349</v>
      </c>
      <c r="J145" s="49">
        <v>314</v>
      </c>
      <c r="K145" s="49">
        <v>359</v>
      </c>
      <c r="L145" s="49">
        <v>277</v>
      </c>
      <c r="M145" s="49">
        <v>196</v>
      </c>
      <c r="N145" s="49"/>
      <c r="O145" s="49"/>
      <c r="P145" s="49"/>
      <c r="Q145" s="49"/>
      <c r="R145" s="49"/>
    </row>
    <row r="146" spans="1:18" x14ac:dyDescent="0.3">
      <c r="A146" s="105" t="s">
        <v>103</v>
      </c>
      <c r="B146" s="49">
        <v>455</v>
      </c>
      <c r="C146" s="49">
        <v>450</v>
      </c>
      <c r="D146" s="49">
        <v>409</v>
      </c>
      <c r="E146" s="49">
        <v>365</v>
      </c>
      <c r="F146" s="49">
        <v>349</v>
      </c>
      <c r="G146" s="49">
        <v>386</v>
      </c>
      <c r="H146" s="49">
        <v>450</v>
      </c>
      <c r="I146" s="49">
        <v>418</v>
      </c>
      <c r="J146" s="49">
        <v>494</v>
      </c>
      <c r="K146" s="49">
        <v>478</v>
      </c>
      <c r="L146" s="49">
        <v>443</v>
      </c>
      <c r="M146" s="49">
        <v>337</v>
      </c>
      <c r="N146" s="49"/>
      <c r="O146" s="49"/>
      <c r="P146" s="49"/>
      <c r="Q146" s="49"/>
      <c r="R146" s="49"/>
    </row>
    <row r="147" spans="1:18" ht="15" customHeight="1" x14ac:dyDescent="0.3">
      <c r="A147" s="105" t="s">
        <v>104</v>
      </c>
      <c r="B147" s="49">
        <v>290</v>
      </c>
      <c r="C147" s="49">
        <v>302</v>
      </c>
      <c r="D147" s="49">
        <v>290</v>
      </c>
      <c r="E147" s="49">
        <v>281</v>
      </c>
      <c r="F147" s="49">
        <v>300</v>
      </c>
      <c r="G147" s="49">
        <v>311</v>
      </c>
      <c r="H147" s="49">
        <v>300</v>
      </c>
      <c r="I147" s="49">
        <v>282</v>
      </c>
      <c r="J147" s="49">
        <v>264</v>
      </c>
      <c r="K147" s="49">
        <v>263</v>
      </c>
      <c r="L147" s="49">
        <v>273</v>
      </c>
      <c r="M147" s="49">
        <v>217</v>
      </c>
      <c r="N147" s="49"/>
      <c r="O147" s="49"/>
      <c r="P147" s="49"/>
      <c r="Q147" s="49"/>
      <c r="R147" s="49"/>
    </row>
    <row r="148" spans="1:18" x14ac:dyDescent="0.3">
      <c r="A148" s="23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x14ac:dyDescent="0.3">
      <c r="A149" s="23" t="s">
        <v>105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</row>
    <row r="150" spans="1:18" ht="15" customHeight="1" x14ac:dyDescent="0.3">
      <c r="A150" s="105" t="s">
        <v>159</v>
      </c>
      <c r="B150" s="41">
        <v>193.5</v>
      </c>
      <c r="C150" s="41">
        <v>193.5</v>
      </c>
      <c r="D150" s="41">
        <v>193.5</v>
      </c>
      <c r="E150" s="41">
        <v>193.5</v>
      </c>
      <c r="F150" s="41">
        <v>193.5</v>
      </c>
      <c r="G150" s="41">
        <v>193.5</v>
      </c>
      <c r="H150" s="41">
        <v>193.5</v>
      </c>
      <c r="I150" s="41">
        <v>193.5</v>
      </c>
      <c r="J150" s="41">
        <v>193.5</v>
      </c>
      <c r="K150" s="41">
        <v>193.5</v>
      </c>
      <c r="L150" s="41">
        <v>193.5</v>
      </c>
      <c r="M150" s="41">
        <v>193.5</v>
      </c>
      <c r="N150" s="41"/>
      <c r="O150" s="41"/>
      <c r="P150" s="41"/>
      <c r="Q150" s="41"/>
      <c r="R150" s="41"/>
    </row>
    <row r="151" spans="1:18" ht="15" customHeight="1" x14ac:dyDescent="0.3">
      <c r="A151" s="105" t="s">
        <v>160</v>
      </c>
      <c r="B151" s="41">
        <v>227.3</v>
      </c>
      <c r="C151" s="41">
        <v>227.3</v>
      </c>
      <c r="D151" s="41">
        <v>227.3</v>
      </c>
      <c r="E151" s="41">
        <v>227.3</v>
      </c>
      <c r="F151" s="41">
        <v>227.3</v>
      </c>
      <c r="G151" s="41">
        <v>227.3</v>
      </c>
      <c r="H151" s="41">
        <v>227.3</v>
      </c>
      <c r="I151" s="41">
        <v>227.3</v>
      </c>
      <c r="J151" s="41">
        <v>227.3</v>
      </c>
      <c r="K151" s="41">
        <v>227.3</v>
      </c>
      <c r="L151" s="41">
        <v>227.3</v>
      </c>
      <c r="M151" s="41">
        <v>227.3</v>
      </c>
      <c r="N151" s="41"/>
      <c r="O151" s="41"/>
      <c r="P151" s="41"/>
      <c r="Q151" s="41"/>
      <c r="R151" s="41"/>
    </row>
    <row r="152" spans="1:18" ht="14.25" customHeight="1" x14ac:dyDescent="0.3">
      <c r="A152" s="105" t="s">
        <v>161</v>
      </c>
      <c r="B152" s="41">
        <v>1235.3</v>
      </c>
      <c r="C152" s="41">
        <v>1235.3</v>
      </c>
      <c r="D152" s="41">
        <v>1235.3</v>
      </c>
      <c r="E152" s="41">
        <v>1235.3</v>
      </c>
      <c r="F152" s="41">
        <v>1235.3</v>
      </c>
      <c r="G152" s="41">
        <v>1235.3</v>
      </c>
      <c r="H152" s="41">
        <v>1235.3</v>
      </c>
      <c r="I152" s="41">
        <v>1235.3</v>
      </c>
      <c r="J152" s="41">
        <v>1235.3</v>
      </c>
      <c r="K152" s="41">
        <v>1235.3</v>
      </c>
      <c r="L152" s="41">
        <v>1235.3</v>
      </c>
      <c r="M152" s="41">
        <v>1235.3</v>
      </c>
      <c r="N152" s="41"/>
      <c r="O152" s="41"/>
      <c r="P152" s="41"/>
      <c r="Q152" s="41"/>
      <c r="R152" s="41"/>
    </row>
    <row r="153" spans="1:18" x14ac:dyDescent="0.3">
      <c r="A153" s="107" t="s">
        <v>106</v>
      </c>
      <c r="B153" s="41">
        <v>214.45</v>
      </c>
      <c r="C153" s="41">
        <v>214.45</v>
      </c>
      <c r="D153" s="41">
        <v>214.45</v>
      </c>
      <c r="E153" s="41">
        <v>214.45</v>
      </c>
      <c r="F153" s="41">
        <v>214.45</v>
      </c>
      <c r="G153" s="41">
        <v>214.45</v>
      </c>
      <c r="H153" s="41">
        <v>214.45</v>
      </c>
      <c r="I153" s="41">
        <v>214.45</v>
      </c>
      <c r="J153" s="41">
        <v>214.45</v>
      </c>
      <c r="K153" s="41">
        <v>214.45</v>
      </c>
      <c r="L153" s="41">
        <v>214.45</v>
      </c>
      <c r="M153" s="41">
        <v>214.45</v>
      </c>
      <c r="N153" s="41"/>
      <c r="O153" s="41"/>
      <c r="P153" s="41"/>
      <c r="Q153" s="41"/>
      <c r="R153" s="41"/>
    </row>
    <row r="154" spans="1:18" ht="14.25" customHeight="1" x14ac:dyDescent="0.3">
      <c r="A154" s="57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</row>
    <row r="155" spans="1:18" x14ac:dyDescent="0.3">
      <c r="A155" s="77" t="s">
        <v>83</v>
      </c>
      <c r="B155" s="78"/>
      <c r="C155" s="78"/>
      <c r="D155" s="78"/>
      <c r="E155" s="78"/>
      <c r="F155" s="78"/>
      <c r="G155" s="78"/>
      <c r="H155" s="78"/>
      <c r="I155" s="78"/>
      <c r="J155" s="76"/>
      <c r="K155" s="76"/>
      <c r="L155" s="78"/>
      <c r="M155" s="78"/>
      <c r="N155" s="78"/>
      <c r="O155" s="78"/>
      <c r="P155" s="78"/>
      <c r="Q155" s="78"/>
      <c r="R155" s="78"/>
    </row>
    <row r="156" spans="1:18" x14ac:dyDescent="0.3">
      <c r="A156" s="36" t="s">
        <v>107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</row>
    <row r="157" spans="1:18" x14ac:dyDescent="0.3">
      <c r="A157" s="45" t="s">
        <v>107</v>
      </c>
      <c r="B157" s="46">
        <v>0.99990000000000001</v>
      </c>
      <c r="C157" s="46">
        <v>1</v>
      </c>
      <c r="D157" s="46">
        <v>1</v>
      </c>
      <c r="E157" s="46">
        <v>1</v>
      </c>
      <c r="F157" s="46">
        <v>1</v>
      </c>
      <c r="G157" s="46">
        <v>1</v>
      </c>
      <c r="H157" s="46">
        <v>1</v>
      </c>
      <c r="I157" s="46">
        <v>1</v>
      </c>
      <c r="J157" s="46">
        <v>1</v>
      </c>
      <c r="K157" s="46">
        <v>1</v>
      </c>
      <c r="L157" s="46">
        <v>1</v>
      </c>
      <c r="M157" s="46">
        <v>1</v>
      </c>
      <c r="N157" s="46"/>
      <c r="O157" s="46"/>
      <c r="P157" s="46"/>
      <c r="Q157" s="46"/>
      <c r="R157" s="46"/>
    </row>
    <row r="158" spans="1:18" x14ac:dyDescent="0.3">
      <c r="A158" s="107" t="s">
        <v>108</v>
      </c>
      <c r="B158" s="49">
        <v>16344</v>
      </c>
      <c r="C158" s="49">
        <v>16344</v>
      </c>
      <c r="D158" s="49">
        <v>16344</v>
      </c>
      <c r="E158" s="49">
        <v>16344</v>
      </c>
      <c r="F158" s="49">
        <v>16344</v>
      </c>
      <c r="G158" s="49">
        <v>16344</v>
      </c>
      <c r="H158" s="49">
        <v>16344</v>
      </c>
      <c r="I158" s="49">
        <v>16344</v>
      </c>
      <c r="J158" s="49">
        <v>16344</v>
      </c>
      <c r="K158" s="49">
        <v>16344</v>
      </c>
      <c r="L158" s="49">
        <v>16344</v>
      </c>
      <c r="M158" s="49">
        <v>16344</v>
      </c>
      <c r="N158" s="49"/>
      <c r="O158" s="49"/>
      <c r="P158" s="49"/>
      <c r="Q158" s="49"/>
      <c r="R158" s="49"/>
    </row>
    <row r="159" spans="1:18" x14ac:dyDescent="0.3">
      <c r="A159" s="107" t="s">
        <v>109</v>
      </c>
      <c r="B159" s="49">
        <f t="shared" ref="B159:M159" si="88">B118*4</f>
        <v>36288</v>
      </c>
      <c r="C159" s="49">
        <f t="shared" si="88"/>
        <v>36340</v>
      </c>
      <c r="D159" s="49">
        <f t="shared" si="88"/>
        <v>36356</v>
      </c>
      <c r="E159" s="49">
        <f t="shared" si="88"/>
        <v>36508</v>
      </c>
      <c r="F159" s="49">
        <f t="shared" si="88"/>
        <v>36540</v>
      </c>
      <c r="G159" s="49">
        <f t="shared" si="88"/>
        <v>36524</v>
      </c>
      <c r="H159" s="49">
        <f t="shared" si="88"/>
        <v>36608</v>
      </c>
      <c r="I159" s="49">
        <f t="shared" si="88"/>
        <v>36684</v>
      </c>
      <c r="J159" s="49">
        <f t="shared" si="88"/>
        <v>36844</v>
      </c>
      <c r="K159" s="49">
        <f t="shared" si="88"/>
        <v>36900</v>
      </c>
      <c r="L159" s="49">
        <f t="shared" si="88"/>
        <v>36972</v>
      </c>
      <c r="M159" s="49">
        <f t="shared" si="88"/>
        <v>36988</v>
      </c>
      <c r="N159" s="49"/>
      <c r="O159" s="49"/>
      <c r="P159" s="49"/>
      <c r="Q159" s="49"/>
      <c r="R159" s="49"/>
    </row>
    <row r="160" spans="1:18" x14ac:dyDescent="0.3">
      <c r="A160" s="107" t="s">
        <v>110</v>
      </c>
      <c r="B160" s="49">
        <f>B159*B132</f>
        <v>35098.979206049145</v>
      </c>
      <c r="C160" s="49">
        <f t="shared" ref="C160:M160" si="89">C159*C132</f>
        <v>35227.356611093637</v>
      </c>
      <c r="D160" s="49">
        <f t="shared" si="89"/>
        <v>35228.091395031966</v>
      </c>
      <c r="E160" s="49">
        <f t="shared" si="89"/>
        <v>35518.405860805862</v>
      </c>
      <c r="F160" s="49">
        <f t="shared" si="89"/>
        <v>35515.978249503292</v>
      </c>
      <c r="G160" s="49">
        <f t="shared" si="89"/>
        <v>35499.998326184752</v>
      </c>
      <c r="H160" s="49">
        <f t="shared" si="89"/>
        <v>35584</v>
      </c>
      <c r="I160" s="49">
        <f t="shared" si="89"/>
        <v>35660.011665451515</v>
      </c>
      <c r="J160" s="49">
        <f t="shared" si="89"/>
        <v>35819.918689068661</v>
      </c>
      <c r="K160" s="49">
        <f t="shared" si="89"/>
        <v>35875.743138270322</v>
      </c>
      <c r="L160" s="49">
        <f t="shared" si="89"/>
        <v>35936.187739067507</v>
      </c>
      <c r="M160" s="49">
        <f t="shared" si="89"/>
        <v>35963.528730880527</v>
      </c>
      <c r="N160" s="49"/>
      <c r="O160" s="49"/>
      <c r="P160" s="49"/>
      <c r="Q160" s="49"/>
      <c r="R160" s="49"/>
    </row>
    <row r="161" spans="1:19" x14ac:dyDescent="0.3">
      <c r="A161" s="107" t="s">
        <v>111</v>
      </c>
      <c r="B161" s="49">
        <v>0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/>
      <c r="O161" s="49"/>
      <c r="P161" s="49"/>
      <c r="Q161" s="49"/>
      <c r="R161" s="49"/>
    </row>
    <row r="162" spans="1:19" x14ac:dyDescent="0.3">
      <c r="A162" s="107" t="s">
        <v>112</v>
      </c>
      <c r="B162" s="49">
        <v>0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/>
      <c r="O162" s="49"/>
      <c r="P162" s="49"/>
      <c r="Q162" s="49"/>
      <c r="R162" s="49"/>
    </row>
    <row r="163" spans="1:19" x14ac:dyDescent="0.3">
      <c r="A163" s="107" t="s">
        <v>113</v>
      </c>
      <c r="B163" s="49">
        <v>4828</v>
      </c>
      <c r="C163" s="49">
        <v>4805</v>
      </c>
      <c r="D163" s="49">
        <v>5230</v>
      </c>
      <c r="E163" s="49">
        <v>4232</v>
      </c>
      <c r="F163" s="49">
        <v>4747</v>
      </c>
      <c r="G163" s="49">
        <v>4434</v>
      </c>
      <c r="H163" s="49">
        <v>4573</v>
      </c>
      <c r="I163" s="49">
        <v>4766</v>
      </c>
      <c r="J163" s="49">
        <v>4830</v>
      </c>
      <c r="K163" s="49">
        <v>4761</v>
      </c>
      <c r="L163" s="49">
        <v>4764</v>
      </c>
      <c r="M163" s="49">
        <v>5593</v>
      </c>
      <c r="N163" s="49"/>
      <c r="O163" s="49"/>
      <c r="P163" s="49"/>
      <c r="Q163" s="49"/>
      <c r="R163" s="49"/>
      <c r="S163" s="116">
        <v>15</v>
      </c>
    </row>
    <row r="164" spans="1:19" x14ac:dyDescent="0.3">
      <c r="A164" s="107" t="s">
        <v>114</v>
      </c>
      <c r="B164" s="49">
        <v>2865</v>
      </c>
      <c r="C164" s="49">
        <v>2856</v>
      </c>
      <c r="D164" s="49">
        <v>2870</v>
      </c>
      <c r="E164" s="49">
        <v>2894</v>
      </c>
      <c r="F164" s="49">
        <v>2896</v>
      </c>
      <c r="G164" s="49">
        <v>2898</v>
      </c>
      <c r="H164" s="49">
        <v>2892</v>
      </c>
      <c r="I164" s="49">
        <v>2894</v>
      </c>
      <c r="J164" s="49">
        <v>2903</v>
      </c>
      <c r="K164" s="49">
        <v>2893</v>
      </c>
      <c r="L164" s="49">
        <v>2896</v>
      </c>
      <c r="M164" s="49">
        <v>2865</v>
      </c>
      <c r="N164" s="49"/>
      <c r="O164" s="49"/>
      <c r="P164" s="49"/>
      <c r="Q164" s="49"/>
      <c r="R164" s="49"/>
      <c r="S164" s="116">
        <v>16</v>
      </c>
    </row>
    <row r="165" spans="1:19" x14ac:dyDescent="0.3">
      <c r="A165" s="107" t="s">
        <v>115</v>
      </c>
      <c r="B165" s="41">
        <v>1</v>
      </c>
      <c r="C165" s="41">
        <v>1</v>
      </c>
      <c r="D165" s="41">
        <v>1</v>
      </c>
      <c r="E165" s="41">
        <v>1</v>
      </c>
      <c r="F165" s="41">
        <v>1</v>
      </c>
      <c r="G165" s="41">
        <v>1</v>
      </c>
      <c r="H165" s="41">
        <v>1</v>
      </c>
      <c r="I165" s="41">
        <v>1</v>
      </c>
      <c r="J165" s="41">
        <v>1</v>
      </c>
      <c r="K165" s="41">
        <v>1</v>
      </c>
      <c r="L165" s="41">
        <v>1</v>
      </c>
      <c r="M165" s="41">
        <v>1</v>
      </c>
      <c r="N165" s="49"/>
      <c r="O165" s="49"/>
      <c r="P165" s="49"/>
      <c r="Q165" s="49"/>
      <c r="R165" s="49"/>
    </row>
    <row r="166" spans="1:19" x14ac:dyDescent="0.3">
      <c r="A166" s="107" t="s">
        <v>116</v>
      </c>
      <c r="B166" s="41">
        <v>1.53</v>
      </c>
      <c r="C166" s="41">
        <v>1.53</v>
      </c>
      <c r="D166" s="41">
        <v>1.53</v>
      </c>
      <c r="E166" s="41">
        <v>1.53</v>
      </c>
      <c r="F166" s="41">
        <v>1.53</v>
      </c>
      <c r="G166" s="41">
        <v>1.53</v>
      </c>
      <c r="H166" s="41">
        <v>1.53</v>
      </c>
      <c r="I166" s="41">
        <v>1.53</v>
      </c>
      <c r="J166" s="41">
        <v>1.53</v>
      </c>
      <c r="K166" s="41">
        <v>1.53</v>
      </c>
      <c r="L166" s="41">
        <v>1.53</v>
      </c>
      <c r="M166" s="41">
        <v>1.53</v>
      </c>
      <c r="N166" s="49"/>
      <c r="O166" s="49"/>
      <c r="P166" s="49"/>
      <c r="Q166" s="49"/>
      <c r="R166" s="49"/>
    </row>
    <row r="167" spans="1:19" x14ac:dyDescent="0.3">
      <c r="A167" s="107" t="s">
        <v>117</v>
      </c>
      <c r="B167" s="41">
        <v>3</v>
      </c>
      <c r="C167" s="41">
        <v>3</v>
      </c>
      <c r="D167" s="41">
        <v>3</v>
      </c>
      <c r="E167" s="41">
        <v>3</v>
      </c>
      <c r="F167" s="41">
        <v>3</v>
      </c>
      <c r="G167" s="41">
        <v>3</v>
      </c>
      <c r="H167" s="41">
        <v>3</v>
      </c>
      <c r="I167" s="41">
        <v>3</v>
      </c>
      <c r="J167" s="41">
        <v>3</v>
      </c>
      <c r="K167" s="41">
        <v>3</v>
      </c>
      <c r="L167" s="41">
        <v>3</v>
      </c>
      <c r="M167" s="41">
        <v>3</v>
      </c>
      <c r="N167" s="49"/>
      <c r="O167" s="49"/>
      <c r="P167" s="49"/>
      <c r="Q167" s="49"/>
      <c r="R167" s="49"/>
    </row>
    <row r="168" spans="1:19" x14ac:dyDescent="0.3">
      <c r="A168" s="107" t="s">
        <v>118</v>
      </c>
      <c r="B168" s="41">
        <v>96</v>
      </c>
      <c r="C168" s="41">
        <v>96</v>
      </c>
      <c r="D168" s="41">
        <v>96</v>
      </c>
      <c r="E168" s="41">
        <v>96</v>
      </c>
      <c r="F168" s="41">
        <v>96</v>
      </c>
      <c r="G168" s="41">
        <v>96</v>
      </c>
      <c r="H168" s="41">
        <v>96</v>
      </c>
      <c r="I168" s="41">
        <v>96</v>
      </c>
      <c r="J168" s="41">
        <v>96</v>
      </c>
      <c r="K168" s="41">
        <v>96</v>
      </c>
      <c r="L168" s="41">
        <v>96</v>
      </c>
      <c r="M168" s="41">
        <v>96</v>
      </c>
      <c r="N168" s="49"/>
      <c r="O168" s="49"/>
      <c r="P168" s="49"/>
      <c r="Q168" s="49"/>
      <c r="R168" s="49"/>
    </row>
    <row r="169" spans="1:19" x14ac:dyDescent="0.3">
      <c r="A169" s="107" t="s">
        <v>119</v>
      </c>
      <c r="B169" s="49">
        <v>0</v>
      </c>
      <c r="C169" s="49">
        <v>0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79"/>
      <c r="O169" s="79"/>
      <c r="P169" s="79"/>
      <c r="Q169" s="79"/>
      <c r="R169" s="79"/>
    </row>
    <row r="170" spans="1:19" x14ac:dyDescent="0.3">
      <c r="A170" s="107" t="s">
        <v>120</v>
      </c>
      <c r="B170" s="49">
        <v>0</v>
      </c>
      <c r="C170" s="49">
        <v>0</v>
      </c>
      <c r="D170" s="49">
        <v>0</v>
      </c>
      <c r="E170" s="49">
        <v>0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1"/>
      <c r="O170" s="41"/>
      <c r="P170" s="41"/>
      <c r="Q170" s="41"/>
      <c r="R170" s="41"/>
    </row>
    <row r="171" spans="1:19" x14ac:dyDescent="0.3">
      <c r="A171" s="107" t="s">
        <v>121</v>
      </c>
      <c r="B171" s="80">
        <v>0</v>
      </c>
      <c r="C171" s="80">
        <v>0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80">
        <v>0</v>
      </c>
      <c r="N171" s="41"/>
      <c r="O171" s="41"/>
      <c r="P171" s="41"/>
      <c r="Q171" s="41"/>
      <c r="R171" s="41"/>
    </row>
    <row r="172" spans="1:19" x14ac:dyDescent="0.3">
      <c r="A172" s="45" t="s">
        <v>122</v>
      </c>
      <c r="B172" s="49">
        <v>15</v>
      </c>
      <c r="C172" s="49">
        <v>14</v>
      </c>
      <c r="D172" s="49">
        <v>13</v>
      </c>
      <c r="E172" s="49">
        <v>24</v>
      </c>
      <c r="F172" s="49">
        <v>21</v>
      </c>
      <c r="G172" s="49">
        <v>12</v>
      </c>
      <c r="H172" s="49">
        <v>28</v>
      </c>
      <c r="I172" s="49">
        <v>18</v>
      </c>
      <c r="J172" s="49">
        <v>40</v>
      </c>
      <c r="K172" s="49">
        <v>14</v>
      </c>
      <c r="L172" s="49">
        <v>15</v>
      </c>
      <c r="M172" s="49">
        <v>6</v>
      </c>
      <c r="N172" s="49"/>
      <c r="O172" s="49"/>
      <c r="P172" s="49"/>
      <c r="Q172" s="49"/>
      <c r="R172" s="49"/>
    </row>
    <row r="173" spans="1:19" x14ac:dyDescent="0.3">
      <c r="A173" s="107" t="s">
        <v>123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/>
      <c r="O173" s="49"/>
      <c r="P173" s="49"/>
      <c r="Q173" s="49"/>
      <c r="R173" s="49"/>
    </row>
    <row r="174" spans="1:19" x14ac:dyDescent="0.3">
      <c r="A174" s="107" t="s">
        <v>124</v>
      </c>
      <c r="B174" s="80">
        <v>0</v>
      </c>
      <c r="C174" s="80">
        <v>0</v>
      </c>
      <c r="D174" s="80">
        <v>0</v>
      </c>
      <c r="E174" s="80">
        <v>0</v>
      </c>
      <c r="F174" s="80">
        <v>0</v>
      </c>
      <c r="G174" s="80">
        <v>0</v>
      </c>
      <c r="H174" s="80">
        <v>0</v>
      </c>
      <c r="I174" s="80">
        <v>0</v>
      </c>
      <c r="J174" s="80">
        <v>0</v>
      </c>
      <c r="K174" s="80">
        <v>0</v>
      </c>
      <c r="L174" s="80">
        <v>0</v>
      </c>
      <c r="M174" s="80">
        <v>0</v>
      </c>
      <c r="N174" s="49"/>
      <c r="O174" s="49"/>
      <c r="P174" s="49"/>
      <c r="Q174" s="49"/>
      <c r="R174" s="49"/>
    </row>
    <row r="175" spans="1:19" x14ac:dyDescent="0.3">
      <c r="A175" s="107" t="s">
        <v>125</v>
      </c>
      <c r="B175" s="49">
        <v>8</v>
      </c>
      <c r="C175" s="49">
        <v>8</v>
      </c>
      <c r="D175" s="49">
        <v>8</v>
      </c>
      <c r="E175" s="49">
        <v>8</v>
      </c>
      <c r="F175" s="49">
        <v>8</v>
      </c>
      <c r="G175" s="49">
        <v>8</v>
      </c>
      <c r="H175" s="49">
        <v>8</v>
      </c>
      <c r="I175" s="49">
        <v>8</v>
      </c>
      <c r="J175" s="49">
        <v>8</v>
      </c>
      <c r="K175" s="49">
        <v>8</v>
      </c>
      <c r="L175" s="49">
        <v>8</v>
      </c>
      <c r="M175" s="49">
        <v>8</v>
      </c>
      <c r="N175" s="49"/>
      <c r="O175" s="49"/>
      <c r="P175" s="49"/>
      <c r="Q175" s="49"/>
      <c r="R175" s="49"/>
    </row>
    <row r="176" spans="1:19" x14ac:dyDescent="0.3">
      <c r="A176" s="107" t="s">
        <v>126</v>
      </c>
      <c r="B176" s="49">
        <v>8</v>
      </c>
      <c r="C176" s="49">
        <v>8</v>
      </c>
      <c r="D176" s="49">
        <v>8</v>
      </c>
      <c r="E176" s="49">
        <v>8</v>
      </c>
      <c r="F176" s="49">
        <v>8</v>
      </c>
      <c r="G176" s="49">
        <v>8</v>
      </c>
      <c r="H176" s="49">
        <v>8</v>
      </c>
      <c r="I176" s="49">
        <v>8</v>
      </c>
      <c r="J176" s="49">
        <v>8</v>
      </c>
      <c r="K176" s="49">
        <v>8</v>
      </c>
      <c r="L176" s="49">
        <v>8</v>
      </c>
      <c r="M176" s="49">
        <v>8</v>
      </c>
      <c r="N176" s="49"/>
      <c r="O176" s="49"/>
      <c r="P176" s="49"/>
      <c r="Q176" s="49"/>
      <c r="R176" s="49"/>
    </row>
    <row r="177" spans="1:19" x14ac:dyDescent="0.3">
      <c r="A177" s="107" t="s">
        <v>127</v>
      </c>
      <c r="B177" s="49">
        <v>0</v>
      </c>
      <c r="C177" s="49">
        <v>0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/>
      <c r="O177" s="49"/>
      <c r="P177" s="49"/>
      <c r="Q177" s="49"/>
      <c r="R177" s="49"/>
    </row>
    <row r="178" spans="1:19" x14ac:dyDescent="0.3">
      <c r="A178" s="83" t="s">
        <v>128</v>
      </c>
      <c r="B178" s="73">
        <f t="shared" ref="B178:M178" si="90">+B179+B180+B181+B182+B183</f>
        <v>8</v>
      </c>
      <c r="C178" s="73">
        <f t="shared" si="90"/>
        <v>8</v>
      </c>
      <c r="D178" s="84">
        <f t="shared" si="90"/>
        <v>8</v>
      </c>
      <c r="E178" s="84">
        <f t="shared" si="90"/>
        <v>8</v>
      </c>
      <c r="F178" s="84">
        <f t="shared" si="90"/>
        <v>8</v>
      </c>
      <c r="G178" s="84">
        <f t="shared" si="90"/>
        <v>8</v>
      </c>
      <c r="H178" s="84">
        <f t="shared" si="90"/>
        <v>8</v>
      </c>
      <c r="I178" s="84">
        <f t="shared" si="90"/>
        <v>8</v>
      </c>
      <c r="J178" s="84">
        <f t="shared" si="90"/>
        <v>8</v>
      </c>
      <c r="K178" s="84">
        <f t="shared" si="90"/>
        <v>8</v>
      </c>
      <c r="L178" s="84">
        <f t="shared" si="90"/>
        <v>8</v>
      </c>
      <c r="M178" s="84">
        <f t="shared" si="90"/>
        <v>8</v>
      </c>
      <c r="N178" s="84"/>
      <c r="O178" s="84"/>
      <c r="P178" s="84"/>
      <c r="Q178" s="84"/>
      <c r="R178" s="84"/>
    </row>
    <row r="179" spans="1:19" x14ac:dyDescent="0.3">
      <c r="A179" s="107" t="s">
        <v>129</v>
      </c>
      <c r="B179" s="49">
        <v>8</v>
      </c>
      <c r="C179" s="49">
        <v>8</v>
      </c>
      <c r="D179" s="49">
        <v>8</v>
      </c>
      <c r="E179" s="49">
        <v>8</v>
      </c>
      <c r="F179" s="49">
        <v>8</v>
      </c>
      <c r="G179" s="49">
        <v>8</v>
      </c>
      <c r="H179" s="49">
        <v>8</v>
      </c>
      <c r="I179" s="49">
        <v>8</v>
      </c>
      <c r="J179" s="49">
        <v>8</v>
      </c>
      <c r="K179" s="49">
        <v>8</v>
      </c>
      <c r="L179" s="49">
        <v>8</v>
      </c>
      <c r="M179" s="49">
        <v>8</v>
      </c>
      <c r="N179" s="49"/>
      <c r="O179" s="49"/>
      <c r="P179" s="49"/>
      <c r="Q179" s="49"/>
      <c r="R179" s="49"/>
    </row>
    <row r="180" spans="1:19" x14ac:dyDescent="0.3">
      <c r="A180" s="107" t="s">
        <v>130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/>
      <c r="O180" s="49"/>
      <c r="P180" s="49"/>
      <c r="Q180" s="49"/>
      <c r="R180" s="49"/>
    </row>
    <row r="181" spans="1:19" x14ac:dyDescent="0.3">
      <c r="A181" s="107" t="s">
        <v>131</v>
      </c>
      <c r="B181" s="85">
        <v>0</v>
      </c>
      <c r="C181" s="85">
        <v>0</v>
      </c>
      <c r="D181" s="85">
        <v>0</v>
      </c>
      <c r="E181" s="85">
        <v>0</v>
      </c>
      <c r="F181" s="85">
        <v>0</v>
      </c>
      <c r="G181" s="85">
        <v>0</v>
      </c>
      <c r="H181" s="85">
        <v>0</v>
      </c>
      <c r="I181" s="85">
        <v>0</v>
      </c>
      <c r="J181" s="85">
        <v>0</v>
      </c>
      <c r="K181" s="85">
        <v>0</v>
      </c>
      <c r="L181" s="85">
        <v>0</v>
      </c>
      <c r="M181" s="85">
        <v>0</v>
      </c>
      <c r="N181" s="49"/>
      <c r="O181" s="49"/>
      <c r="P181" s="49"/>
      <c r="Q181" s="49"/>
      <c r="R181" s="49"/>
    </row>
    <row r="182" spans="1:19" x14ac:dyDescent="0.3">
      <c r="A182" s="107" t="s">
        <v>132</v>
      </c>
      <c r="B182" s="85">
        <v>0</v>
      </c>
      <c r="C182" s="85">
        <v>0</v>
      </c>
      <c r="D182" s="85">
        <v>0</v>
      </c>
      <c r="E182" s="85">
        <v>0</v>
      </c>
      <c r="F182" s="85">
        <v>0</v>
      </c>
      <c r="G182" s="85">
        <v>0</v>
      </c>
      <c r="H182" s="85">
        <v>0</v>
      </c>
      <c r="I182" s="85">
        <v>0</v>
      </c>
      <c r="J182" s="85">
        <v>0</v>
      </c>
      <c r="K182" s="85">
        <v>0</v>
      </c>
      <c r="L182" s="85">
        <v>0</v>
      </c>
      <c r="M182" s="85">
        <v>0</v>
      </c>
      <c r="N182" s="49"/>
      <c r="O182" s="49"/>
      <c r="P182" s="49"/>
      <c r="Q182" s="49"/>
      <c r="R182" s="49"/>
    </row>
    <row r="183" spans="1:19" x14ac:dyDescent="0.3">
      <c r="A183" s="107" t="s">
        <v>133</v>
      </c>
      <c r="B183" s="85">
        <v>0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49"/>
      <c r="O183" s="49"/>
      <c r="P183" s="49"/>
      <c r="Q183" s="49"/>
      <c r="R183" s="49"/>
    </row>
    <row r="184" spans="1:19" s="113" customFormat="1" ht="22.5" customHeight="1" x14ac:dyDescent="0.3">
      <c r="A184" s="112" t="s">
        <v>134</v>
      </c>
      <c r="B184" s="110">
        <v>8</v>
      </c>
      <c r="C184" s="110">
        <v>8</v>
      </c>
      <c r="D184" s="110">
        <v>8</v>
      </c>
      <c r="E184" s="110">
        <v>8</v>
      </c>
      <c r="F184" s="110">
        <v>8</v>
      </c>
      <c r="G184" s="110">
        <v>8</v>
      </c>
      <c r="H184" s="110">
        <v>8</v>
      </c>
      <c r="I184" s="110">
        <v>8</v>
      </c>
      <c r="J184" s="110">
        <v>8</v>
      </c>
      <c r="K184" s="110">
        <v>8</v>
      </c>
      <c r="L184" s="110">
        <v>8</v>
      </c>
      <c r="M184" s="110">
        <v>8</v>
      </c>
      <c r="N184" s="110"/>
      <c r="O184" s="110"/>
      <c r="P184" s="110"/>
      <c r="Q184" s="110"/>
      <c r="R184" s="110"/>
    </row>
    <row r="185" spans="1:19" x14ac:dyDescent="0.3">
      <c r="A185" s="45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9" x14ac:dyDescent="0.3">
      <c r="A186" s="107" t="s">
        <v>135</v>
      </c>
      <c r="B186" s="49">
        <v>0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/>
      <c r="O186" s="49"/>
      <c r="P186" s="49"/>
      <c r="Q186" s="49"/>
      <c r="R186" s="49"/>
    </row>
    <row r="187" spans="1:19" ht="16.2" x14ac:dyDescent="0.3">
      <c r="A187" s="107" t="s">
        <v>154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/>
      <c r="O187" s="49"/>
      <c r="P187" s="49"/>
      <c r="Q187" s="49"/>
      <c r="R187" s="49"/>
    </row>
    <row r="188" spans="1:19" x14ac:dyDescent="0.3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</row>
    <row r="189" spans="1:19" x14ac:dyDescent="0.3">
      <c r="A189" s="88"/>
      <c r="B189" s="87"/>
      <c r="C189" s="87"/>
      <c r="D189" s="87"/>
      <c r="E189" s="87"/>
      <c r="F189" s="87"/>
      <c r="G189" s="87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</row>
    <row r="190" spans="1:19" x14ac:dyDescent="0.3">
      <c r="A190" s="36" t="s">
        <v>136</v>
      </c>
      <c r="B190" s="50">
        <f>+B191+B198+B199</f>
        <v>32</v>
      </c>
      <c r="C190" s="50">
        <f>+C191+C198+C199</f>
        <v>32</v>
      </c>
      <c r="D190" s="50">
        <f>+D191+D198+D199</f>
        <v>32</v>
      </c>
      <c r="E190" s="50">
        <f t="shared" ref="E190:G190" si="91">+E191+E198+E199</f>
        <v>32</v>
      </c>
      <c r="F190" s="50">
        <f t="shared" si="91"/>
        <v>33</v>
      </c>
      <c r="G190" s="50">
        <f t="shared" si="91"/>
        <v>33</v>
      </c>
      <c r="H190" s="50">
        <f t="shared" ref="H190:M190" si="92">+H191+H198+H199</f>
        <v>33</v>
      </c>
      <c r="I190" s="50">
        <f t="shared" si="92"/>
        <v>32</v>
      </c>
      <c r="J190" s="50">
        <f t="shared" si="92"/>
        <v>31</v>
      </c>
      <c r="K190" s="50">
        <f t="shared" si="92"/>
        <v>31</v>
      </c>
      <c r="L190" s="50">
        <f t="shared" si="92"/>
        <v>31</v>
      </c>
      <c r="M190" s="50">
        <f t="shared" si="92"/>
        <v>31</v>
      </c>
      <c r="N190" s="50"/>
      <c r="O190" s="50"/>
      <c r="P190" s="50"/>
      <c r="Q190" s="50"/>
      <c r="R190" s="50"/>
    </row>
    <row r="191" spans="1:19" ht="15.6" x14ac:dyDescent="0.3">
      <c r="A191" s="53" t="s">
        <v>137</v>
      </c>
      <c r="B191" s="70">
        <f>SUM(B192:B197)</f>
        <v>32</v>
      </c>
      <c r="C191" s="70">
        <f>SUM(C192:C197)</f>
        <v>32</v>
      </c>
      <c r="D191" s="70">
        <f>SUM(D192:D197)</f>
        <v>32</v>
      </c>
      <c r="E191" s="70">
        <f t="shared" ref="E191:G191" si="93">SUM(E192:E197)</f>
        <v>32</v>
      </c>
      <c r="F191" s="70">
        <f t="shared" si="93"/>
        <v>33</v>
      </c>
      <c r="G191" s="70">
        <f t="shared" si="93"/>
        <v>33</v>
      </c>
      <c r="H191" s="70">
        <f t="shared" ref="H191:M191" si="94">SUM(H192:H197)</f>
        <v>33</v>
      </c>
      <c r="I191" s="70">
        <f t="shared" si="94"/>
        <v>32</v>
      </c>
      <c r="J191" s="70">
        <f t="shared" si="94"/>
        <v>31</v>
      </c>
      <c r="K191" s="70">
        <f t="shared" si="94"/>
        <v>31</v>
      </c>
      <c r="L191" s="70">
        <f t="shared" si="94"/>
        <v>31</v>
      </c>
      <c r="M191" s="70">
        <f t="shared" si="94"/>
        <v>31</v>
      </c>
      <c r="N191" s="70"/>
      <c r="O191" s="70"/>
      <c r="P191" s="70"/>
      <c r="Q191" s="70"/>
      <c r="R191" s="70"/>
    </row>
    <row r="192" spans="1:19" x14ac:dyDescent="0.3">
      <c r="A192" s="104" t="s">
        <v>138</v>
      </c>
      <c r="B192" s="49">
        <v>6</v>
      </c>
      <c r="C192" s="49">
        <v>6</v>
      </c>
      <c r="D192" s="49">
        <v>6</v>
      </c>
      <c r="E192" s="49">
        <v>6</v>
      </c>
      <c r="F192" s="49">
        <v>7</v>
      </c>
      <c r="G192" s="49">
        <v>7</v>
      </c>
      <c r="H192" s="49">
        <v>7</v>
      </c>
      <c r="I192" s="49">
        <v>6</v>
      </c>
      <c r="J192" s="49">
        <v>5</v>
      </c>
      <c r="K192" s="49">
        <v>5</v>
      </c>
      <c r="L192" s="49">
        <v>5</v>
      </c>
      <c r="M192" s="49">
        <v>5</v>
      </c>
      <c r="N192" s="49"/>
      <c r="O192" s="49"/>
      <c r="P192" s="49"/>
      <c r="Q192" s="49"/>
      <c r="R192" s="49"/>
      <c r="S192" s="116">
        <v>18</v>
      </c>
    </row>
    <row r="193" spans="1:19" x14ac:dyDescent="0.3">
      <c r="A193" s="104" t="s">
        <v>139</v>
      </c>
      <c r="B193" s="49">
        <v>0</v>
      </c>
      <c r="C193" s="49">
        <v>0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/>
      <c r="O193" s="49"/>
      <c r="P193" s="49"/>
      <c r="Q193" s="49"/>
      <c r="R193" s="49"/>
      <c r="S193" s="116">
        <v>17</v>
      </c>
    </row>
    <row r="194" spans="1:19" x14ac:dyDescent="0.3">
      <c r="A194" s="104" t="s">
        <v>140</v>
      </c>
      <c r="B194" s="49">
        <v>11</v>
      </c>
      <c r="C194" s="49">
        <v>11</v>
      </c>
      <c r="D194" s="49">
        <v>11</v>
      </c>
      <c r="E194" s="49">
        <v>11</v>
      </c>
      <c r="F194" s="49">
        <v>11</v>
      </c>
      <c r="G194" s="49">
        <v>11</v>
      </c>
      <c r="H194" s="49">
        <v>11</v>
      </c>
      <c r="I194" s="49">
        <v>11</v>
      </c>
      <c r="J194" s="49">
        <v>11</v>
      </c>
      <c r="K194" s="49">
        <v>11</v>
      </c>
      <c r="L194" s="49">
        <v>11</v>
      </c>
      <c r="M194" s="49">
        <v>11</v>
      </c>
      <c r="N194" s="49"/>
      <c r="O194" s="49"/>
      <c r="P194" s="49"/>
      <c r="Q194" s="49"/>
      <c r="R194" s="49"/>
      <c r="S194" s="116">
        <v>18</v>
      </c>
    </row>
    <row r="195" spans="1:19" x14ac:dyDescent="0.3">
      <c r="A195" s="104" t="s">
        <v>139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/>
      <c r="O195" s="49"/>
      <c r="P195" s="49"/>
      <c r="Q195" s="49"/>
      <c r="R195" s="49"/>
      <c r="S195" s="116">
        <v>17</v>
      </c>
    </row>
    <row r="196" spans="1:19" x14ac:dyDescent="0.3">
      <c r="A196" s="104" t="s">
        <v>141</v>
      </c>
      <c r="B196" s="49">
        <v>15</v>
      </c>
      <c r="C196" s="49">
        <v>15</v>
      </c>
      <c r="D196" s="49">
        <v>15</v>
      </c>
      <c r="E196" s="49">
        <v>15</v>
      </c>
      <c r="F196" s="49">
        <v>15</v>
      </c>
      <c r="G196" s="49">
        <v>15</v>
      </c>
      <c r="H196" s="49">
        <v>15</v>
      </c>
      <c r="I196" s="49">
        <v>15</v>
      </c>
      <c r="J196" s="49">
        <v>15</v>
      </c>
      <c r="K196" s="49">
        <v>15</v>
      </c>
      <c r="L196" s="49">
        <v>15</v>
      </c>
      <c r="M196" s="49">
        <v>15</v>
      </c>
      <c r="N196" s="49"/>
      <c r="O196" s="49"/>
      <c r="P196" s="49"/>
      <c r="Q196" s="49"/>
      <c r="R196" s="21"/>
      <c r="S196" s="116">
        <v>18</v>
      </c>
    </row>
    <row r="197" spans="1:19" x14ac:dyDescent="0.3">
      <c r="A197" s="104" t="s">
        <v>139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/>
      <c r="O197" s="49"/>
      <c r="P197" s="49"/>
      <c r="Q197" s="49"/>
      <c r="R197" s="21"/>
      <c r="S197" s="116">
        <v>17</v>
      </c>
    </row>
    <row r="198" spans="1:19" ht="15.6" x14ac:dyDescent="0.3">
      <c r="A198" s="114" t="s">
        <v>155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/>
      <c r="O198" s="49"/>
      <c r="P198" s="49"/>
      <c r="Q198" s="49"/>
      <c r="R198" s="21"/>
      <c r="S198" s="116">
        <v>20</v>
      </c>
    </row>
    <row r="199" spans="1:19" x14ac:dyDescent="0.3">
      <c r="A199" s="105" t="s">
        <v>142</v>
      </c>
      <c r="B199" s="49">
        <v>0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/>
      <c r="O199" s="49"/>
      <c r="P199" s="49"/>
      <c r="Q199" s="49"/>
      <c r="R199" s="21"/>
      <c r="S199" s="116">
        <v>19</v>
      </c>
    </row>
    <row r="200" spans="1:19" x14ac:dyDescent="0.3">
      <c r="A200" s="90"/>
      <c r="B200" s="91"/>
      <c r="C200" s="91"/>
      <c r="D200" s="91"/>
      <c r="E200" s="91"/>
      <c r="F200" s="91"/>
      <c r="G200" s="91"/>
      <c r="H200" s="91"/>
      <c r="I200" s="92"/>
      <c r="J200" s="91"/>
      <c r="K200" s="91"/>
      <c r="L200" s="91"/>
      <c r="M200" s="91"/>
      <c r="N200" s="91"/>
      <c r="O200" s="91"/>
      <c r="P200" s="91"/>
      <c r="Q200" s="91"/>
      <c r="R200" s="21"/>
    </row>
    <row r="201" spans="1:19" x14ac:dyDescent="0.3">
      <c r="A201" s="36" t="s">
        <v>143</v>
      </c>
      <c r="B201" s="93"/>
      <c r="C201" s="93"/>
      <c r="D201" s="93"/>
      <c r="E201" s="93"/>
      <c r="F201" s="93"/>
      <c r="G201" s="93"/>
      <c r="H201" s="93"/>
      <c r="I201" s="94"/>
      <c r="J201" s="93"/>
      <c r="K201" s="93"/>
      <c r="L201" s="95"/>
      <c r="M201" s="124"/>
      <c r="N201" s="93"/>
      <c r="O201" s="93"/>
      <c r="P201" s="93"/>
      <c r="Q201" s="93"/>
      <c r="R201" s="21"/>
    </row>
    <row r="202" spans="1:19" x14ac:dyDescent="0.3">
      <c r="A202" s="107" t="s">
        <v>144</v>
      </c>
      <c r="B202" s="49">
        <v>14</v>
      </c>
      <c r="C202" s="49">
        <v>14</v>
      </c>
      <c r="D202" s="49">
        <v>14</v>
      </c>
      <c r="E202" s="49">
        <v>14</v>
      </c>
      <c r="F202" s="49">
        <v>14</v>
      </c>
      <c r="G202" s="49">
        <v>14</v>
      </c>
      <c r="H202" s="81">
        <v>14</v>
      </c>
      <c r="I202" s="81">
        <v>14</v>
      </c>
      <c r="J202" s="81">
        <v>14</v>
      </c>
      <c r="K202" s="96">
        <v>14</v>
      </c>
      <c r="L202" s="49">
        <v>14</v>
      </c>
      <c r="M202" s="82">
        <v>14</v>
      </c>
      <c r="N202" s="49"/>
      <c r="O202" s="49"/>
      <c r="P202" s="49"/>
      <c r="Q202" s="49"/>
      <c r="R202" s="21"/>
    </row>
    <row r="203" spans="1:19" x14ac:dyDescent="0.3">
      <c r="A203" s="107" t="s">
        <v>145</v>
      </c>
      <c r="B203" s="49">
        <v>116</v>
      </c>
      <c r="C203" s="49">
        <v>116</v>
      </c>
      <c r="D203" s="49">
        <v>120</v>
      </c>
      <c r="E203" s="49">
        <v>121</v>
      </c>
      <c r="F203" s="49">
        <v>101</v>
      </c>
      <c r="G203" s="49">
        <v>82</v>
      </c>
      <c r="H203" s="81">
        <v>174</v>
      </c>
      <c r="I203" s="81">
        <v>53</v>
      </c>
      <c r="J203" s="81">
        <v>118</v>
      </c>
      <c r="K203" s="96">
        <v>149</v>
      </c>
      <c r="L203" s="49">
        <v>100</v>
      </c>
      <c r="M203" s="82">
        <v>125</v>
      </c>
      <c r="N203" s="49"/>
      <c r="O203" s="49"/>
      <c r="P203" s="49"/>
      <c r="Q203" s="49"/>
      <c r="R203" s="21"/>
    </row>
    <row r="204" spans="1:19" x14ac:dyDescent="0.3">
      <c r="A204" s="107" t="s">
        <v>146</v>
      </c>
      <c r="B204" s="49">
        <v>116</v>
      </c>
      <c r="C204" s="49">
        <v>116</v>
      </c>
      <c r="D204" s="49">
        <v>120</v>
      </c>
      <c r="E204" s="49">
        <v>121</v>
      </c>
      <c r="F204" s="49">
        <v>101</v>
      </c>
      <c r="G204" s="49">
        <v>82</v>
      </c>
      <c r="H204" s="81">
        <v>174</v>
      </c>
      <c r="I204" s="81">
        <v>53</v>
      </c>
      <c r="J204" s="81">
        <v>118</v>
      </c>
      <c r="K204" s="96">
        <v>149</v>
      </c>
      <c r="L204" s="49">
        <v>100</v>
      </c>
      <c r="M204" s="82">
        <v>125</v>
      </c>
      <c r="N204" s="49"/>
      <c r="O204" s="49"/>
      <c r="P204" s="49"/>
      <c r="Q204" s="49"/>
      <c r="R204" s="21"/>
    </row>
    <row r="205" spans="1:19" x14ac:dyDescent="0.3">
      <c r="A205" s="107" t="s">
        <v>147</v>
      </c>
      <c r="B205" s="49">
        <v>0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81">
        <v>0</v>
      </c>
      <c r="I205" s="81">
        <v>0</v>
      </c>
      <c r="J205" s="81">
        <v>0</v>
      </c>
      <c r="K205" s="96">
        <v>0</v>
      </c>
      <c r="L205" s="72">
        <v>0</v>
      </c>
      <c r="M205" s="82">
        <v>0</v>
      </c>
      <c r="N205" s="49"/>
      <c r="O205" s="49"/>
      <c r="P205" s="49"/>
      <c r="Q205" s="49"/>
      <c r="R205" s="21"/>
    </row>
    <row r="206" spans="1:19" x14ac:dyDescent="0.3">
      <c r="A206" s="107" t="s">
        <v>148</v>
      </c>
      <c r="B206" s="49">
        <v>116</v>
      </c>
      <c r="C206" s="49">
        <v>116</v>
      </c>
      <c r="D206" s="49">
        <v>120</v>
      </c>
      <c r="E206" s="49">
        <v>121</v>
      </c>
      <c r="F206" s="49">
        <v>101</v>
      </c>
      <c r="G206" s="49">
        <v>82</v>
      </c>
      <c r="H206" s="81">
        <v>174</v>
      </c>
      <c r="I206" s="81">
        <v>53</v>
      </c>
      <c r="J206" s="81">
        <v>118</v>
      </c>
      <c r="K206" s="96">
        <v>149</v>
      </c>
      <c r="L206" s="49">
        <v>100</v>
      </c>
      <c r="M206" s="82">
        <v>125</v>
      </c>
      <c r="N206" s="49"/>
      <c r="O206" s="49"/>
      <c r="P206" s="49"/>
      <c r="Q206" s="49"/>
      <c r="R206" s="21"/>
    </row>
    <row r="207" spans="1:19" x14ac:dyDescent="0.3">
      <c r="A207" s="107" t="s">
        <v>149</v>
      </c>
      <c r="B207" s="49">
        <v>116</v>
      </c>
      <c r="C207" s="49">
        <v>116</v>
      </c>
      <c r="D207" s="49">
        <v>120</v>
      </c>
      <c r="E207" s="49">
        <v>121</v>
      </c>
      <c r="F207" s="49">
        <v>101</v>
      </c>
      <c r="G207" s="49">
        <v>82</v>
      </c>
      <c r="H207" s="81">
        <v>174</v>
      </c>
      <c r="I207" s="81">
        <v>53</v>
      </c>
      <c r="J207" s="81">
        <v>118</v>
      </c>
      <c r="K207" s="96">
        <v>149</v>
      </c>
      <c r="L207" s="49">
        <v>100</v>
      </c>
      <c r="M207" s="82">
        <v>125</v>
      </c>
      <c r="N207" s="49"/>
      <c r="O207" s="49"/>
      <c r="P207" s="49"/>
      <c r="Q207" s="49"/>
      <c r="R207" s="21"/>
    </row>
    <row r="208" spans="1:19" x14ac:dyDescent="0.3">
      <c r="A208" s="107" t="s">
        <v>150</v>
      </c>
      <c r="B208" s="49">
        <f>B116</f>
        <v>9522</v>
      </c>
      <c r="C208" s="49">
        <f t="shared" ref="C208:M208" si="95">C116</f>
        <v>9537</v>
      </c>
      <c r="D208" s="49">
        <f t="shared" si="95"/>
        <v>9541</v>
      </c>
      <c r="E208" s="49">
        <f t="shared" si="95"/>
        <v>9555</v>
      </c>
      <c r="F208" s="49">
        <f t="shared" si="95"/>
        <v>9563</v>
      </c>
      <c r="G208" s="49">
        <f t="shared" si="95"/>
        <v>9559</v>
      </c>
      <c r="H208" s="81">
        <f t="shared" si="95"/>
        <v>9581</v>
      </c>
      <c r="I208" s="81">
        <f t="shared" si="95"/>
        <v>9601</v>
      </c>
      <c r="J208" s="81">
        <f t="shared" si="95"/>
        <v>9642</v>
      </c>
      <c r="K208" s="96">
        <f t="shared" si="95"/>
        <v>9655</v>
      </c>
      <c r="L208" s="72">
        <f t="shared" si="95"/>
        <v>9673</v>
      </c>
      <c r="M208" s="82">
        <f t="shared" si="95"/>
        <v>9676</v>
      </c>
      <c r="N208" s="49"/>
      <c r="O208" s="49"/>
      <c r="P208" s="49"/>
      <c r="Q208" s="49"/>
      <c r="R208" s="21"/>
      <c r="S208" s="116">
        <v>13</v>
      </c>
    </row>
    <row r="209" spans="1:18" x14ac:dyDescent="0.3">
      <c r="A209" s="115" t="s">
        <v>151</v>
      </c>
      <c r="B209" s="97">
        <v>0</v>
      </c>
      <c r="C209" s="97">
        <v>0</v>
      </c>
      <c r="D209" s="97">
        <v>0</v>
      </c>
      <c r="E209" s="97">
        <v>0</v>
      </c>
      <c r="F209" s="97">
        <v>0</v>
      </c>
      <c r="G209" s="97">
        <v>0</v>
      </c>
      <c r="H209" s="98">
        <v>0</v>
      </c>
      <c r="I209" s="98">
        <v>0</v>
      </c>
      <c r="J209" s="98">
        <v>0</v>
      </c>
      <c r="K209" s="98">
        <v>0</v>
      </c>
      <c r="L209" s="125">
        <v>0</v>
      </c>
      <c r="M209" s="99">
        <v>0</v>
      </c>
      <c r="N209" s="97"/>
      <c r="O209" s="97"/>
      <c r="P209" s="97"/>
      <c r="Q209" s="97"/>
      <c r="R209" s="21"/>
    </row>
  </sheetData>
  <mergeCells count="5">
    <mergeCell ref="A1:R1"/>
    <mergeCell ref="A3:R3"/>
    <mergeCell ref="A4:R4"/>
    <mergeCell ref="A6:R6"/>
    <mergeCell ref="A7:R7"/>
  </mergeCells>
  <printOptions horizontalCentered="1"/>
  <pageMargins left="0.74803149606299213" right="0.74803149606299213" top="0.98425196850393704" bottom="0.98425196850393704" header="0.31496062992125984" footer="0.15748031496062992"/>
  <pageSetup scale="29" orientation="landscape" r:id="rId1"/>
  <headerFooter>
    <oddFooter>&amp;LING. GILDARDO HUGO BARAJAS MARTINEZ
DIRECTOR EJECUTIVO&amp;RC.P. YANETH MARGARITA PONCE MACIAS
DIRECTORA FINANCIERA</oddFooter>
  </headerFooter>
  <rowBreaks count="1" manualBreakCount="1">
    <brk id="107" max="17" man="1"/>
  </rowBreaks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PIGOO</vt:lpstr>
      <vt:lpstr>PIGOO!Área_de_impresión</vt:lpstr>
      <vt:lpstr>PIGOO!Títulos_a_imprimir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Esparza</dc:creator>
  <cp:lastModifiedBy>CONTAJMAS</cp:lastModifiedBy>
  <cp:lastPrinted>2022-02-08T01:13:04Z</cp:lastPrinted>
  <dcterms:created xsi:type="dcterms:W3CDTF">2018-04-02T17:47:44Z</dcterms:created>
  <dcterms:modified xsi:type="dcterms:W3CDTF">2022-02-08T01:13:15Z</dcterms:modified>
</cp:coreProperties>
</file>